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\SERVICIO DE PROMOCION EMPRESARIAL\CULTURA EMPRENDEDORA\Expert\2019-2020\02_CONTENIDOS\PROFESORADO\3 SESION_PLAN EMPRESA\"/>
    </mc:Choice>
  </mc:AlternateContent>
  <xr:revisionPtr revIDLastSave="0" documentId="8_{7E2FAE72-F52E-40E6-9467-43192A08FF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_Competencia" sheetId="14" r:id="rId1"/>
    <sheet name="2_Inversiones " sheetId="1" r:id="rId2"/>
    <sheet name="3_GASTOS VARIABLES" sheetId="6" r:id="rId3"/>
    <sheet name="4_GASTOS FIJOS" sheetId="7" r:id="rId4"/>
    <sheet name="5_VENTAS" sheetId="5" r:id="rId5"/>
    <sheet name="6_CTA RESULTADOS" sheetId="15" r:id="rId6"/>
    <sheet name="7_NECESIDAD DE FINANCIACIÓN" sheetId="1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7" l="1"/>
  <c r="P8" i="1" l="1"/>
  <c r="D47" i="1"/>
  <c r="E47" i="1"/>
  <c r="F47" i="1"/>
  <c r="G47" i="1"/>
  <c r="H47" i="1"/>
  <c r="I47" i="1"/>
  <c r="J47" i="1"/>
  <c r="K47" i="1"/>
  <c r="L47" i="1"/>
  <c r="M47" i="1"/>
  <c r="N47" i="1"/>
  <c r="O47" i="1"/>
  <c r="P47" i="1" l="1"/>
  <c r="E26" i="6"/>
  <c r="F26" i="6"/>
  <c r="G26" i="6"/>
  <c r="H26" i="6"/>
  <c r="I26" i="6"/>
  <c r="J26" i="6"/>
  <c r="K26" i="6"/>
  <c r="L26" i="6"/>
  <c r="M26" i="6"/>
  <c r="N26" i="6"/>
  <c r="O26" i="6"/>
  <c r="D26" i="6"/>
  <c r="I16" i="6"/>
  <c r="P21" i="6"/>
  <c r="P22" i="6"/>
  <c r="P23" i="6"/>
  <c r="P24" i="6"/>
  <c r="P25" i="6"/>
  <c r="D8" i="6"/>
  <c r="E8" i="6"/>
  <c r="F8" i="6"/>
  <c r="G8" i="6"/>
  <c r="H8" i="6"/>
  <c r="I8" i="6"/>
  <c r="J8" i="6"/>
  <c r="K8" i="6"/>
  <c r="L8" i="6"/>
  <c r="M8" i="6"/>
  <c r="N8" i="6"/>
  <c r="O8" i="6"/>
  <c r="D9" i="6"/>
  <c r="E9" i="6"/>
  <c r="F9" i="6"/>
  <c r="G9" i="6"/>
  <c r="H9" i="6"/>
  <c r="I9" i="6"/>
  <c r="J9" i="6"/>
  <c r="K9" i="6"/>
  <c r="L9" i="6"/>
  <c r="M9" i="6"/>
  <c r="N9" i="6"/>
  <c r="O9" i="6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E23" i="1"/>
  <c r="F23" i="1"/>
  <c r="G23" i="1"/>
  <c r="H23" i="1"/>
  <c r="I23" i="1"/>
  <c r="J23" i="1"/>
  <c r="K23" i="1"/>
  <c r="L23" i="1"/>
  <c r="M23" i="1"/>
  <c r="N23" i="1"/>
  <c r="O23" i="1"/>
  <c r="Q47" i="1" l="1"/>
  <c r="D28" i="1" s="1"/>
  <c r="C28" i="1"/>
  <c r="M16" i="6"/>
  <c r="E16" i="6"/>
  <c r="L16" i="6"/>
  <c r="H16" i="6"/>
  <c r="D16" i="6"/>
  <c r="P26" i="6"/>
  <c r="O16" i="6"/>
  <c r="K16" i="6"/>
  <c r="G16" i="6"/>
  <c r="N16" i="6"/>
  <c r="J16" i="6"/>
  <c r="P8" i="6"/>
  <c r="F16" i="6"/>
  <c r="P12" i="6"/>
  <c r="P10" i="6"/>
  <c r="P11" i="6"/>
  <c r="P9" i="6"/>
  <c r="F13" i="6"/>
  <c r="J13" i="6"/>
  <c r="N13" i="6"/>
  <c r="O13" i="6"/>
  <c r="D13" i="6"/>
  <c r="E13" i="6"/>
  <c r="G13" i="6"/>
  <c r="H13" i="6"/>
  <c r="I13" i="6"/>
  <c r="L13" i="6"/>
  <c r="M13" i="6"/>
  <c r="B8" i="5"/>
  <c r="D8" i="5"/>
  <c r="P8" i="7"/>
  <c r="P10" i="7"/>
  <c r="P11" i="7"/>
  <c r="P12" i="7"/>
  <c r="P13" i="7"/>
  <c r="P15" i="7"/>
  <c r="P16" i="7"/>
  <c r="P17" i="7"/>
  <c r="P19" i="7"/>
  <c r="P20" i="7"/>
  <c r="P21" i="7"/>
  <c r="P23" i="7"/>
  <c r="P24" i="7"/>
  <c r="P25" i="7"/>
  <c r="D48" i="1"/>
  <c r="D49" i="1"/>
  <c r="D50" i="1"/>
  <c r="D51" i="1"/>
  <c r="D52" i="1"/>
  <c r="D53" i="1"/>
  <c r="D54" i="1"/>
  <c r="D16" i="1"/>
  <c r="D55" i="1" s="1"/>
  <c r="D17" i="1"/>
  <c r="D56" i="1" s="1"/>
  <c r="D57" i="1"/>
  <c r="D58" i="1"/>
  <c r="D59" i="1"/>
  <c r="E48" i="1"/>
  <c r="E49" i="1"/>
  <c r="E50" i="1"/>
  <c r="E51" i="1"/>
  <c r="E52" i="1"/>
  <c r="E53" i="1"/>
  <c r="E54" i="1"/>
  <c r="E57" i="1"/>
  <c r="E58" i="1"/>
  <c r="E59" i="1"/>
  <c r="G48" i="1"/>
  <c r="G49" i="1"/>
  <c r="G50" i="1"/>
  <c r="G51" i="1"/>
  <c r="G52" i="1"/>
  <c r="G53" i="1"/>
  <c r="G54" i="1"/>
  <c r="G57" i="1"/>
  <c r="G58" i="1"/>
  <c r="G59" i="1"/>
  <c r="H48" i="1"/>
  <c r="H49" i="1"/>
  <c r="H50" i="1"/>
  <c r="H51" i="1"/>
  <c r="H52" i="1"/>
  <c r="H53" i="1"/>
  <c r="H54" i="1"/>
  <c r="H57" i="1"/>
  <c r="H58" i="1"/>
  <c r="H59" i="1"/>
  <c r="I48" i="1"/>
  <c r="I49" i="1"/>
  <c r="I50" i="1"/>
  <c r="I51" i="1"/>
  <c r="I52" i="1"/>
  <c r="I53" i="1"/>
  <c r="I54" i="1"/>
  <c r="I57" i="1"/>
  <c r="I58" i="1"/>
  <c r="I59" i="1"/>
  <c r="J48" i="1"/>
  <c r="J49" i="1"/>
  <c r="J50" i="1"/>
  <c r="J51" i="1"/>
  <c r="J52" i="1"/>
  <c r="J53" i="1"/>
  <c r="J54" i="1"/>
  <c r="J57" i="1"/>
  <c r="J58" i="1"/>
  <c r="J59" i="1"/>
  <c r="K48" i="1"/>
  <c r="K49" i="1"/>
  <c r="K50" i="1"/>
  <c r="K51" i="1"/>
  <c r="K52" i="1"/>
  <c r="K53" i="1"/>
  <c r="K54" i="1"/>
  <c r="K57" i="1"/>
  <c r="K58" i="1"/>
  <c r="K59" i="1"/>
  <c r="L48" i="1"/>
  <c r="L49" i="1"/>
  <c r="L50" i="1"/>
  <c r="L51" i="1"/>
  <c r="L52" i="1"/>
  <c r="L53" i="1"/>
  <c r="L54" i="1"/>
  <c r="L57" i="1"/>
  <c r="L58" i="1"/>
  <c r="L59" i="1"/>
  <c r="M48" i="1"/>
  <c r="M49" i="1"/>
  <c r="M50" i="1"/>
  <c r="M51" i="1"/>
  <c r="M52" i="1"/>
  <c r="M53" i="1"/>
  <c r="M54" i="1"/>
  <c r="M57" i="1"/>
  <c r="M58" i="1"/>
  <c r="M59" i="1"/>
  <c r="N48" i="1"/>
  <c r="N49" i="1"/>
  <c r="N50" i="1"/>
  <c r="N51" i="1"/>
  <c r="N52" i="1"/>
  <c r="N53" i="1"/>
  <c r="N54" i="1"/>
  <c r="N57" i="1"/>
  <c r="N58" i="1"/>
  <c r="N59" i="1"/>
  <c r="O48" i="1"/>
  <c r="O49" i="1"/>
  <c r="O50" i="1"/>
  <c r="O51" i="1"/>
  <c r="O52" i="1"/>
  <c r="O53" i="1"/>
  <c r="O54" i="1"/>
  <c r="O57" i="1"/>
  <c r="O58" i="1"/>
  <c r="O59" i="1"/>
  <c r="P29" i="7"/>
  <c r="P30" i="7" s="1"/>
  <c r="C16" i="15" s="1"/>
  <c r="D9" i="5"/>
  <c r="D10" i="5"/>
  <c r="D11" i="5"/>
  <c r="D12" i="5"/>
  <c r="E8" i="5"/>
  <c r="E9" i="5"/>
  <c r="E10" i="5"/>
  <c r="E11" i="5"/>
  <c r="E12" i="5"/>
  <c r="F8" i="5"/>
  <c r="F9" i="5"/>
  <c r="F10" i="5"/>
  <c r="F13" i="5" s="1"/>
  <c r="F29" i="5" s="1"/>
  <c r="F34" i="5" s="1"/>
  <c r="F11" i="5"/>
  <c r="F12" i="5"/>
  <c r="G8" i="5"/>
  <c r="G9" i="5"/>
  <c r="G10" i="5"/>
  <c r="G11" i="5"/>
  <c r="G12" i="5"/>
  <c r="H8" i="5"/>
  <c r="H9" i="5"/>
  <c r="H10" i="5"/>
  <c r="H11" i="5"/>
  <c r="H12" i="5"/>
  <c r="I8" i="5"/>
  <c r="I9" i="5"/>
  <c r="I10" i="5"/>
  <c r="I11" i="5"/>
  <c r="I12" i="5"/>
  <c r="J8" i="5"/>
  <c r="J9" i="5"/>
  <c r="J10" i="5"/>
  <c r="J13" i="5" s="1"/>
  <c r="J29" i="5" s="1"/>
  <c r="J34" i="5" s="1"/>
  <c r="J11" i="5"/>
  <c r="J12" i="5"/>
  <c r="K8" i="5"/>
  <c r="K9" i="5"/>
  <c r="K10" i="5"/>
  <c r="K11" i="5"/>
  <c r="K12" i="5"/>
  <c r="L8" i="5"/>
  <c r="L9" i="5"/>
  <c r="L10" i="5"/>
  <c r="L11" i="5"/>
  <c r="L12" i="5"/>
  <c r="M8" i="5"/>
  <c r="M9" i="5"/>
  <c r="M10" i="5"/>
  <c r="M11" i="5"/>
  <c r="M12" i="5"/>
  <c r="N8" i="5"/>
  <c r="N9" i="5"/>
  <c r="N10" i="5"/>
  <c r="N11" i="5"/>
  <c r="N12" i="5"/>
  <c r="N13" i="5"/>
  <c r="N29" i="5" s="1"/>
  <c r="N34" i="5" s="1"/>
  <c r="O8" i="5"/>
  <c r="O9" i="5"/>
  <c r="O10" i="5"/>
  <c r="O11" i="5"/>
  <c r="O12" i="5"/>
  <c r="P31" i="5"/>
  <c r="C15" i="15" s="1"/>
  <c r="P30" i="5"/>
  <c r="P32" i="5"/>
  <c r="E22" i="7"/>
  <c r="F22" i="7"/>
  <c r="G22" i="7"/>
  <c r="H22" i="7"/>
  <c r="I22" i="7"/>
  <c r="J22" i="7"/>
  <c r="K22" i="7"/>
  <c r="L22" i="7"/>
  <c r="M22" i="7"/>
  <c r="N22" i="7"/>
  <c r="O22" i="7"/>
  <c r="E26" i="7"/>
  <c r="E30" i="7"/>
  <c r="F26" i="7"/>
  <c r="F28" i="7"/>
  <c r="F30" i="7"/>
  <c r="G26" i="7"/>
  <c r="G30" i="7"/>
  <c r="H26" i="7"/>
  <c r="H30" i="7"/>
  <c r="I26" i="7"/>
  <c r="I30" i="7"/>
  <c r="J26" i="7"/>
  <c r="J30" i="7"/>
  <c r="K26" i="7"/>
  <c r="K30" i="7"/>
  <c r="L26" i="7"/>
  <c r="L30" i="7"/>
  <c r="M26" i="7"/>
  <c r="M30" i="7"/>
  <c r="N26" i="7"/>
  <c r="N30" i="7"/>
  <c r="O26" i="7"/>
  <c r="O30" i="7"/>
  <c r="D22" i="7"/>
  <c r="D26" i="7"/>
  <c r="D30" i="7"/>
  <c r="E21" i="1"/>
  <c r="E25" i="1" s="1"/>
  <c r="F21" i="1"/>
  <c r="F25" i="1" s="1"/>
  <c r="G21" i="1"/>
  <c r="G25" i="1" s="1"/>
  <c r="H21" i="1"/>
  <c r="H25" i="1" s="1"/>
  <c r="I21" i="1"/>
  <c r="I25" i="1" s="1"/>
  <c r="J21" i="1"/>
  <c r="J25" i="1" s="1"/>
  <c r="K21" i="1"/>
  <c r="K25" i="1" s="1"/>
  <c r="L21" i="1"/>
  <c r="L25" i="1" s="1"/>
  <c r="M21" i="1"/>
  <c r="M25" i="1" s="1"/>
  <c r="N21" i="1"/>
  <c r="N25" i="1" s="1"/>
  <c r="O21" i="1"/>
  <c r="O25" i="1" s="1"/>
  <c r="F48" i="1"/>
  <c r="F49" i="1"/>
  <c r="F50" i="1"/>
  <c r="F51" i="1"/>
  <c r="F52" i="1"/>
  <c r="F53" i="1"/>
  <c r="F54" i="1"/>
  <c r="F57" i="1"/>
  <c r="F58" i="1"/>
  <c r="F59" i="1"/>
  <c r="B9" i="5"/>
  <c r="B10" i="5"/>
  <c r="B11" i="5"/>
  <c r="B12" i="5"/>
  <c r="A59" i="1"/>
  <c r="A58" i="1"/>
  <c r="A57" i="1"/>
  <c r="A56" i="1"/>
  <c r="A55" i="1"/>
  <c r="A54" i="1"/>
  <c r="A53" i="1"/>
  <c r="A52" i="1"/>
  <c r="A51" i="1"/>
  <c r="A50" i="1"/>
  <c r="A49" i="1"/>
  <c r="A48" i="1"/>
  <c r="O24" i="5"/>
  <c r="N24" i="5"/>
  <c r="M24" i="5"/>
  <c r="L24" i="5"/>
  <c r="K24" i="5"/>
  <c r="J24" i="5"/>
  <c r="I24" i="5"/>
  <c r="H24" i="5"/>
  <c r="G24" i="5"/>
  <c r="F24" i="5"/>
  <c r="E24" i="5"/>
  <c r="D24" i="5"/>
  <c r="P23" i="5"/>
  <c r="P22" i="5"/>
  <c r="P21" i="5"/>
  <c r="P20" i="5"/>
  <c r="P19" i="5"/>
  <c r="P20" i="1"/>
  <c r="P18" i="1"/>
  <c r="P19" i="1"/>
  <c r="P17" i="1"/>
  <c r="P16" i="1"/>
  <c r="P13" i="1"/>
  <c r="P15" i="1"/>
  <c r="P14" i="1"/>
  <c r="P12" i="1"/>
  <c r="P11" i="1"/>
  <c r="P10" i="1"/>
  <c r="P9" i="1"/>
  <c r="P10" i="5"/>
  <c r="P26" i="7" l="1"/>
  <c r="C11" i="15" s="1"/>
  <c r="J56" i="1"/>
  <c r="O56" i="1"/>
  <c r="E13" i="5"/>
  <c r="E29" i="5" s="1"/>
  <c r="E34" i="5" s="1"/>
  <c r="O13" i="5"/>
  <c r="O29" i="5" s="1"/>
  <c r="O34" i="5" s="1"/>
  <c r="N15" i="5"/>
  <c r="N36" i="5" s="1"/>
  <c r="L13" i="5"/>
  <c r="L29" i="5" s="1"/>
  <c r="L34" i="5" s="1"/>
  <c r="P12" i="5"/>
  <c r="P24" i="5"/>
  <c r="M13" i="5"/>
  <c r="M29" i="5" s="1"/>
  <c r="M34" i="5" s="1"/>
  <c r="L15" i="5"/>
  <c r="L36" i="5" s="1"/>
  <c r="K15" i="5"/>
  <c r="K36" i="5" s="1"/>
  <c r="J15" i="5"/>
  <c r="J36" i="5" s="1"/>
  <c r="H13" i="5"/>
  <c r="H29" i="5" s="1"/>
  <c r="H34" i="5" s="1"/>
  <c r="P9" i="5"/>
  <c r="P11" i="5"/>
  <c r="I13" i="5"/>
  <c r="I29" i="5" s="1"/>
  <c r="I34" i="5" s="1"/>
  <c r="H15" i="5"/>
  <c r="H36" i="5" s="1"/>
  <c r="G13" i="5"/>
  <c r="G29" i="5" s="1"/>
  <c r="G34" i="5" s="1"/>
  <c r="F15" i="5"/>
  <c r="F36" i="5" s="1"/>
  <c r="K56" i="1"/>
  <c r="E56" i="1"/>
  <c r="D15" i="5"/>
  <c r="N55" i="1"/>
  <c r="H55" i="1"/>
  <c r="F55" i="1"/>
  <c r="O55" i="1"/>
  <c r="O60" i="1" s="1"/>
  <c r="O27" i="7" s="1"/>
  <c r="O33" i="7" s="1"/>
  <c r="I55" i="1"/>
  <c r="D21" i="1"/>
  <c r="L55" i="1"/>
  <c r="K55" i="1"/>
  <c r="J55" i="1"/>
  <c r="J60" i="1" s="1"/>
  <c r="J27" i="7" s="1"/>
  <c r="J33" i="7" s="1"/>
  <c r="M55" i="1"/>
  <c r="G55" i="1"/>
  <c r="E55" i="1"/>
  <c r="E60" i="1" s="1"/>
  <c r="E27" i="7" s="1"/>
  <c r="E33" i="7" s="1"/>
  <c r="D36" i="5"/>
  <c r="O15" i="5"/>
  <c r="O36" i="5" s="1"/>
  <c r="G15" i="5"/>
  <c r="G36" i="5" s="1"/>
  <c r="K13" i="5"/>
  <c r="K29" i="5" s="1"/>
  <c r="K34" i="5" s="1"/>
  <c r="N56" i="1"/>
  <c r="H56" i="1"/>
  <c r="H60" i="1" s="1"/>
  <c r="H27" i="7" s="1"/>
  <c r="H33" i="7" s="1"/>
  <c r="P22" i="7"/>
  <c r="C12" i="15" s="1"/>
  <c r="M15" i="5"/>
  <c r="M36" i="5" s="1"/>
  <c r="I15" i="5"/>
  <c r="I36" i="5" s="1"/>
  <c r="E15" i="5"/>
  <c r="E36" i="5" s="1"/>
  <c r="C10" i="15"/>
  <c r="P16" i="6"/>
  <c r="P8" i="5"/>
  <c r="F56" i="1"/>
  <c r="F60" i="1" s="1"/>
  <c r="D13" i="5"/>
  <c r="M56" i="1"/>
  <c r="G56" i="1"/>
  <c r="G60" i="1" s="1"/>
  <c r="G27" i="7" s="1"/>
  <c r="G33" i="7" s="1"/>
  <c r="P52" i="1"/>
  <c r="P59" i="1"/>
  <c r="P51" i="1"/>
  <c r="D60" i="1"/>
  <c r="D27" i="7" s="1"/>
  <c r="D33" i="7" s="1"/>
  <c r="P58" i="1"/>
  <c r="P54" i="1"/>
  <c r="P50" i="1"/>
  <c r="P48" i="1"/>
  <c r="C29" i="1" s="1"/>
  <c r="P57" i="1"/>
  <c r="P53" i="1"/>
  <c r="P49" i="1"/>
  <c r="P21" i="1"/>
  <c r="P23" i="1"/>
  <c r="C9" i="17" s="1"/>
  <c r="L56" i="1"/>
  <c r="L60" i="1" s="1"/>
  <c r="L27" i="7" s="1"/>
  <c r="L33" i="7" s="1"/>
  <c r="I56" i="1"/>
  <c r="D23" i="1"/>
  <c r="D25" i="1" s="1"/>
  <c r="P25" i="1" s="1"/>
  <c r="F31" i="7"/>
  <c r="C17" i="15"/>
  <c r="K13" i="6"/>
  <c r="Q48" i="1" l="1"/>
  <c r="D29" i="1" s="1"/>
  <c r="Q57" i="1"/>
  <c r="D38" i="1" s="1"/>
  <c r="C38" i="1"/>
  <c r="Q58" i="1"/>
  <c r="D39" i="1" s="1"/>
  <c r="C39" i="1"/>
  <c r="Q52" i="1"/>
  <c r="D33" i="1" s="1"/>
  <c r="C33" i="1"/>
  <c r="Q49" i="1"/>
  <c r="D30" i="1" s="1"/>
  <c r="C30" i="1"/>
  <c r="Q50" i="1"/>
  <c r="D31" i="1" s="1"/>
  <c r="C31" i="1"/>
  <c r="Q51" i="1"/>
  <c r="D32" i="1" s="1"/>
  <c r="C32" i="1"/>
  <c r="Q53" i="1"/>
  <c r="D34" i="1" s="1"/>
  <c r="C34" i="1"/>
  <c r="Q54" i="1"/>
  <c r="D35" i="1" s="1"/>
  <c r="C35" i="1"/>
  <c r="Q59" i="1"/>
  <c r="D40" i="1" s="1"/>
  <c r="C40" i="1"/>
  <c r="N60" i="1"/>
  <c r="N27" i="7" s="1"/>
  <c r="N33" i="7" s="1"/>
  <c r="K60" i="1"/>
  <c r="K27" i="7" s="1"/>
  <c r="K33" i="7" s="1"/>
  <c r="M60" i="1"/>
  <c r="M27" i="7" s="1"/>
  <c r="M33" i="7" s="1"/>
  <c r="I60" i="1"/>
  <c r="I27" i="7" s="1"/>
  <c r="P55" i="1"/>
  <c r="J28" i="7"/>
  <c r="J31" i="7" s="1"/>
  <c r="H28" i="7"/>
  <c r="H31" i="7" s="1"/>
  <c r="P15" i="5"/>
  <c r="D29" i="5"/>
  <c r="P13" i="5"/>
  <c r="D28" i="7"/>
  <c r="D31" i="7" s="1"/>
  <c r="L28" i="7"/>
  <c r="L31" i="7" s="1"/>
  <c r="G28" i="7"/>
  <c r="G31" i="7" s="1"/>
  <c r="O28" i="7"/>
  <c r="O31" i="7" s="1"/>
  <c r="P56" i="1"/>
  <c r="P13" i="6"/>
  <c r="C9" i="15" s="1"/>
  <c r="E28" i="7"/>
  <c r="E31" i="7" s="1"/>
  <c r="N28" i="7" l="1"/>
  <c r="N31" i="7" s="1"/>
  <c r="I28" i="7"/>
  <c r="I31" i="7" s="1"/>
  <c r="I33" i="7"/>
  <c r="Q56" i="1"/>
  <c r="D37" i="1" s="1"/>
  <c r="C37" i="1"/>
  <c r="Q55" i="1"/>
  <c r="D36" i="1" s="1"/>
  <c r="C36" i="1"/>
  <c r="K28" i="7"/>
  <c r="K31" i="7" s="1"/>
  <c r="P27" i="7"/>
  <c r="M28" i="7"/>
  <c r="M31" i="7" s="1"/>
  <c r="P60" i="1"/>
  <c r="P29" i="5"/>
  <c r="D34" i="5"/>
  <c r="P33" i="7" l="1"/>
  <c r="C25" i="15" s="1"/>
  <c r="Q60" i="1"/>
  <c r="D41" i="1" s="1"/>
  <c r="C41" i="1"/>
  <c r="P28" i="7"/>
  <c r="C13" i="15" s="1"/>
  <c r="C8" i="15"/>
  <c r="P36" i="5"/>
  <c r="C13" i="17"/>
  <c r="P34" i="5"/>
  <c r="C14" i="15" l="1"/>
  <c r="C18" i="15" s="1"/>
  <c r="C20" i="15" s="1"/>
  <c r="P31" i="7"/>
  <c r="C24" i="15" l="1"/>
  <c r="C11" i="17"/>
  <c r="C10" i="17"/>
  <c r="C15" i="17" l="1"/>
</calcChain>
</file>

<file path=xl/sharedStrings.xml><?xml version="1.0" encoding="utf-8"?>
<sst xmlns="http://schemas.openxmlformats.org/spreadsheetml/2006/main" count="285" uniqueCount="142">
  <si>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</si>
  <si>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</si>
  <si>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</si>
  <si>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</si>
  <si>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</si>
  <si>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</si>
  <si>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</si>
  <si>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</si>
  <si>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</si>
  <si>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</si>
  <si>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</si>
  <si>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</si>
  <si>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Concepto </t>
  </si>
  <si>
    <t>IVA</t>
  </si>
  <si>
    <t>Aplicaciones informáticas</t>
  </si>
  <si>
    <t xml:space="preserve">Ventas </t>
  </si>
  <si>
    <t>TOTAL</t>
  </si>
  <si>
    <t>=</t>
  </si>
  <si>
    <t>+</t>
  </si>
  <si>
    <t>-</t>
  </si>
  <si>
    <t>Amortizaciones</t>
  </si>
  <si>
    <t>Mobiliario</t>
  </si>
  <si>
    <t>Equipos informáticos</t>
  </si>
  <si>
    <t>Otros Equipos</t>
  </si>
  <si>
    <t>Patentes y marcas</t>
  </si>
  <si>
    <t>Terrenos</t>
  </si>
  <si>
    <t>Construcciones</t>
  </si>
  <si>
    <t>Agua</t>
  </si>
  <si>
    <t>VENTAS TOTALES</t>
  </si>
  <si>
    <t xml:space="preserve">APROVISIONAMIENTOS TOTALES </t>
  </si>
  <si>
    <t>Sueldos</t>
  </si>
  <si>
    <t>Costes Sociales</t>
  </si>
  <si>
    <t>COSTES SOCIALES TOTALES</t>
  </si>
  <si>
    <t>Sueldos Autónomo</t>
  </si>
  <si>
    <t>Alquiler</t>
  </si>
  <si>
    <t xml:space="preserve">Transportes </t>
  </si>
  <si>
    <t>Seguros</t>
  </si>
  <si>
    <t>Publicidad, propaganda y relaciones públicas</t>
  </si>
  <si>
    <t>Suministros</t>
  </si>
  <si>
    <t>Electricidad</t>
  </si>
  <si>
    <t>GASTOS</t>
  </si>
  <si>
    <t xml:space="preserve">TOTAL </t>
  </si>
  <si>
    <t>GASTOS OPERATIVOS</t>
  </si>
  <si>
    <t>GASTOS FINANCIEROS</t>
  </si>
  <si>
    <t>AMORTIZACIONES</t>
  </si>
  <si>
    <t>Gastos financieros</t>
  </si>
  <si>
    <t xml:space="preserve">GASTOS TOTALES </t>
  </si>
  <si>
    <t>% DE AMORTIZACIÓN</t>
  </si>
  <si>
    <t>Años de vida útil</t>
  </si>
  <si>
    <t>Producto 1</t>
  </si>
  <si>
    <t>Producto 2</t>
  </si>
  <si>
    <t>Producto 3</t>
  </si>
  <si>
    <t>Producto 4</t>
  </si>
  <si>
    <t>Producto 5</t>
  </si>
  <si>
    <t>Pº Unitario</t>
  </si>
  <si>
    <t xml:space="preserve">UNIDADES PREVISTAS VENDIDAS POR MES </t>
  </si>
  <si>
    <t>COSTE UNITARIO</t>
  </si>
  <si>
    <t>TOTAL con IVA</t>
  </si>
  <si>
    <t xml:space="preserve">Otros gastos </t>
  </si>
  <si>
    <t>Viajes</t>
  </si>
  <si>
    <t>Gastos de oficina</t>
  </si>
  <si>
    <t xml:space="preserve">Varios </t>
  </si>
  <si>
    <t>VENTAS C/IVA</t>
  </si>
  <si>
    <t>APROVISIONAMIENTOS TOTALES  C/IVA</t>
  </si>
  <si>
    <t>Cuadro amortización</t>
  </si>
  <si>
    <t>TOTAL MES</t>
  </si>
  <si>
    <t>GASTOS TOTALES CON IVA</t>
  </si>
  <si>
    <t>unidades TOTAL</t>
  </si>
  <si>
    <t>Subvenciones</t>
  </si>
  <si>
    <t>Ingresos Financieros</t>
  </si>
  <si>
    <t>Ingresos Extraordinarios</t>
  </si>
  <si>
    <t>INGRESO TOTAL</t>
  </si>
  <si>
    <t>INGRESO TOTAL CON IVA</t>
  </si>
  <si>
    <t>Unidades de Producto</t>
  </si>
  <si>
    <t>Importe de ventas</t>
  </si>
  <si>
    <t xml:space="preserve">Ventas de </t>
  </si>
  <si>
    <t xml:space="preserve">Unidades </t>
  </si>
  <si>
    <t>PRECIO DE COMPRA S/IVA</t>
  </si>
  <si>
    <t>VALOR NETO CONTABLE</t>
  </si>
  <si>
    <t xml:space="preserve">IMPORTE IVA </t>
  </si>
  <si>
    <t>ANÁLISIS DE LA COMPETENCIA</t>
  </si>
  <si>
    <t>Empresa</t>
  </si>
  <si>
    <t>Tiempo funcionando</t>
  </si>
  <si>
    <t>Localización</t>
  </si>
  <si>
    <t xml:space="preserve">Análisis Producto </t>
  </si>
  <si>
    <t>Análisis Servicio</t>
  </si>
  <si>
    <t>Folletos</t>
  </si>
  <si>
    <t>Web/Blog</t>
  </si>
  <si>
    <t>Redes</t>
  </si>
  <si>
    <t>Lema</t>
  </si>
  <si>
    <t xml:space="preserve">Packaging </t>
  </si>
  <si>
    <t>Canales de distribución</t>
  </si>
  <si>
    <t>Precio</t>
  </si>
  <si>
    <t>Sus Clientes</t>
  </si>
  <si>
    <t>Cifras de facturación</t>
  </si>
  <si>
    <t>Formas de cobro</t>
  </si>
  <si>
    <t>Tu opinión</t>
  </si>
  <si>
    <t>Opinión del público</t>
  </si>
  <si>
    <t>Qué hace bien</t>
  </si>
  <si>
    <t>Qué origina insatisfacción en sus clientes</t>
  </si>
  <si>
    <t>Fuente de información</t>
  </si>
  <si>
    <t>GASTOS VARIABLES</t>
  </si>
  <si>
    <t>MATERIA PRIMA 1</t>
  </si>
  <si>
    <t>MATERIA PRIMA 2</t>
  </si>
  <si>
    <t>MATERIA PRIMA 3</t>
  </si>
  <si>
    <t>MATERIA PRIMA 4</t>
  </si>
  <si>
    <t>MATERIA PRIMA 5</t>
  </si>
  <si>
    <t>UNIDADES</t>
  </si>
  <si>
    <t>CUENTA DE RESULTADOS simplificada</t>
  </si>
  <si>
    <t xml:space="preserve">1. Importe neto de la cifra de negocios  (Ventas)                                                  </t>
  </si>
  <si>
    <t xml:space="preserve">C) RESULTADO ANTES DE IMPUESTOS ( A + B )                                                         </t>
  </si>
  <si>
    <t>GASTOS FIJOS DE LOS 12 PRIMEROS MESES</t>
  </si>
  <si>
    <t>INVERSIÓN INICIAL CON IVA</t>
  </si>
  <si>
    <t xml:space="preserve">IVA SOPORTADO </t>
  </si>
  <si>
    <t>DEVOLUCIONES DE PRÉSTAMOS</t>
  </si>
  <si>
    <t>MENOS 20% VENTAS PREVISTAS</t>
  </si>
  <si>
    <t>TOTAL FINANCIACIÓN NECESARIA</t>
  </si>
  <si>
    <t>Sólo rellenar celdas con fondo blanco</t>
  </si>
  <si>
    <t xml:space="preserve">2. Aprovisionamientos  (son los gastos variables)                                                                     </t>
  </si>
  <si>
    <t xml:space="preserve">3. Otros ingresos de explotación                                                        </t>
  </si>
  <si>
    <t xml:space="preserve">4. Gastos de personal                                                                      </t>
  </si>
  <si>
    <t xml:space="preserve">5. Otros gastos de explotación                                                             </t>
  </si>
  <si>
    <t xml:space="preserve">6. Amortización del inmovilizado                                                           </t>
  </si>
  <si>
    <t xml:space="preserve">A) RESULTADO DE EXPLOTACIÓN ( 1 - 2 + 3 - 4 - 5 - 6 - )                       </t>
  </si>
  <si>
    <t xml:space="preserve">7. Ingresos financieros                                                                    </t>
  </si>
  <si>
    <t xml:space="preserve">8. Gastos financieros                                                                      </t>
  </si>
  <si>
    <t xml:space="preserve">B) RESULTADO FINANCIERO  ( 7-8 )                                               </t>
  </si>
  <si>
    <t xml:space="preserve">9. Impuesto sobre beneficios                                                               </t>
  </si>
  <si>
    <t xml:space="preserve">D) RESULTADO DEL EJERCICIO DESPUÉS DE IMPUESTOS   (C-9)     </t>
  </si>
  <si>
    <t>Número de personas trabajadoras</t>
  </si>
  <si>
    <t>Maquinaria y herramientas</t>
  </si>
  <si>
    <t xml:space="preserve">Vehículos de transporte </t>
  </si>
  <si>
    <t>Existencias iniciales</t>
  </si>
  <si>
    <t>Tesoreria incial</t>
  </si>
  <si>
    <t>Instalaciones</t>
  </si>
  <si>
    <t xml:space="preserve">Gestoría/Asesoría( fiscal, laboral, PRL…) </t>
  </si>
  <si>
    <t>Teléfono Fijo/Movil/ADSL/Fibra</t>
  </si>
  <si>
    <t>GASTOS VARIABLES TOTALES</t>
  </si>
  <si>
    <t>Servicios Ajenos</t>
  </si>
  <si>
    <t xml:space="preserve">UNIDADES PREVISTAS CONSUMIDAS POR MES </t>
  </si>
  <si>
    <t>Gastos de constitución</t>
  </si>
  <si>
    <t>GASTOS FIJOS DE LOS 12 PRIMEROS MESES (IVA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</si>
</sst>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C0A]_-;\-* #,##0.00\ [$€-C0A]_-;_-* &quot;-&quot;??\ [$€-C0A]_-;_-@_-"/>
    <numFmt numFmtId="165" formatCode="#,##0.00_ ;\-#,##0.00\ "/>
    <numFmt numFmtId="166" formatCode="#,##0.00\ [$€-C0A];\-#,##0.00\ [$€-C0A]"/>
    <numFmt numFmtId="167" formatCode="#,##0.00\ [$€-C0A];[Red]\-#,##0.00\ [$€-C0A]"/>
    <numFmt numFmtId="168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rgb="FF3CACD1"/>
      <name val="Arial"/>
      <family val="2"/>
    </font>
    <font>
      <sz val="11"/>
      <color rgb="FF3CACD1"/>
      <name val="Arial"/>
      <family val="2"/>
    </font>
    <font>
      <b/>
      <sz val="11"/>
      <color theme="0"/>
      <name val="Arial"/>
      <family val="2"/>
    </font>
    <font>
      <b/>
      <sz val="11"/>
      <color rgb="FF3CACD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CAC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6" tint="0.59999389629810485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3CACD1"/>
        <bgColor theme="6" tint="0.79998168889431442"/>
      </patternFill>
    </fill>
    <fill>
      <patternFill patternType="solid">
        <fgColor rgb="FFB1DFED"/>
        <bgColor theme="6" tint="0.79998168889431442"/>
      </patternFill>
    </fill>
    <fill>
      <patternFill patternType="solid">
        <fgColor rgb="FF3CACD1"/>
        <bgColor theme="6" tint="0.59999389629810485"/>
      </patternFill>
    </fill>
  </fills>
  <borders count="25">
    <border>
      <left/>
      <right/>
      <top/>
      <bottom/>
      <diagonal/>
    </border>
    <border>
      <left/>
      <right/>
      <top/>
      <bottom style="thick">
        <color rgb="FF3CACD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3CACD1"/>
      </left>
      <right style="thick">
        <color rgb="FF800080"/>
      </right>
      <top style="thick">
        <color rgb="FF3CACD1"/>
      </top>
      <bottom/>
      <diagonal/>
    </border>
    <border>
      <left/>
      <right style="thick">
        <color rgb="FF3CACD1"/>
      </right>
      <top style="thick">
        <color rgb="FF3CACD1"/>
      </top>
      <bottom/>
      <diagonal/>
    </border>
    <border>
      <left style="thick">
        <color rgb="FF3CACD1"/>
      </left>
      <right style="thick">
        <color rgb="FF3CACD1"/>
      </right>
      <top style="thick">
        <color rgb="FF3CACD1"/>
      </top>
      <bottom/>
      <diagonal/>
    </border>
    <border>
      <left style="thick">
        <color rgb="FF3CACD1"/>
      </left>
      <right style="thick">
        <color rgb="FF3CACD1"/>
      </right>
      <top style="thick">
        <color rgb="FF3CACD1"/>
      </top>
      <bottom style="thick">
        <color rgb="FF3CACD1"/>
      </bottom>
      <diagonal/>
    </border>
    <border>
      <left/>
      <right style="thick">
        <color rgb="FF3CACD1"/>
      </right>
      <top style="thick">
        <color rgb="FF3CACD1"/>
      </top>
      <bottom style="thick">
        <color rgb="FF3CACD1"/>
      </bottom>
      <diagonal/>
    </border>
    <border>
      <left style="thick">
        <color rgb="FF3CACD1"/>
      </left>
      <right style="thick">
        <color rgb="FF3CACD1"/>
      </right>
      <top style="thick">
        <color theme="0"/>
      </top>
      <bottom/>
      <diagonal/>
    </border>
    <border>
      <left style="thick">
        <color rgb="FF800080"/>
      </left>
      <right style="thin">
        <color rgb="FF3CACD1"/>
      </right>
      <top style="thick">
        <color rgb="FF3CACD1"/>
      </top>
      <bottom style="thick">
        <color rgb="FF3CACD1"/>
      </bottom>
      <diagonal/>
    </border>
    <border>
      <left style="thin">
        <color rgb="FF3CACD1"/>
      </left>
      <right style="thin">
        <color rgb="FF3CACD1"/>
      </right>
      <top style="thick">
        <color rgb="FF3CACD1"/>
      </top>
      <bottom style="thick">
        <color rgb="FF3CACD1"/>
      </bottom>
      <diagonal/>
    </border>
    <border>
      <left style="thick">
        <color rgb="FF3CACD1"/>
      </left>
      <right style="thick">
        <color rgb="FF3CACD1"/>
      </right>
      <top style="thick">
        <color theme="0"/>
      </top>
      <bottom style="thick">
        <color rgb="FF3CACD1"/>
      </bottom>
      <diagonal/>
    </border>
    <border>
      <left style="thick">
        <color rgb="FF3CACD1"/>
      </left>
      <right/>
      <top style="thick">
        <color rgb="FF3CACD1"/>
      </top>
      <bottom style="thick">
        <color rgb="FF3CACD1"/>
      </bottom>
      <diagonal/>
    </border>
    <border>
      <left/>
      <right/>
      <top style="thick">
        <color rgb="FF3CACD1"/>
      </top>
      <bottom style="thick">
        <color rgb="FF3CACD1"/>
      </bottom>
      <diagonal/>
    </border>
    <border>
      <left/>
      <right style="thick">
        <color rgb="FF3CACD1"/>
      </right>
      <top/>
      <bottom style="thick">
        <color rgb="FF3CACD1"/>
      </bottom>
      <diagonal/>
    </border>
    <border>
      <left/>
      <right style="thick">
        <color rgb="FF3CACD1"/>
      </right>
      <top/>
      <bottom/>
      <diagonal/>
    </border>
    <border>
      <left style="thick">
        <color rgb="FF3CACD1"/>
      </left>
      <right style="thick">
        <color rgb="FF3CACD1"/>
      </right>
      <top/>
      <bottom style="thick">
        <color rgb="FF3CACD1"/>
      </bottom>
      <diagonal/>
    </border>
    <border>
      <left style="thick">
        <color rgb="FF3CACD1"/>
      </left>
      <right style="thick">
        <color rgb="FF3CACD1"/>
      </right>
      <top/>
      <bottom/>
      <diagonal/>
    </border>
    <border>
      <left style="thick">
        <color rgb="FF3CACD1"/>
      </left>
      <right style="thick">
        <color rgb="FF3CACD1"/>
      </right>
      <top style="thin">
        <color rgb="FF3CACD1"/>
      </top>
      <bottom style="thin">
        <color rgb="FF3CACD1"/>
      </bottom>
      <diagonal/>
    </border>
    <border>
      <left style="thick">
        <color rgb="FF3CACD1"/>
      </left>
      <right style="thick">
        <color rgb="FF3CACD1"/>
      </right>
      <top style="thick">
        <color rgb="FF3CACD1"/>
      </top>
      <bottom style="thin">
        <color rgb="FF3CACD1"/>
      </bottom>
      <diagonal/>
    </border>
    <border>
      <left style="thick">
        <color rgb="FF3CACD1"/>
      </left>
      <right style="thick">
        <color rgb="FF3CACD1"/>
      </right>
      <top/>
      <bottom style="thin">
        <color rgb="FF3CACD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3CACD1"/>
      </top>
      <bottom style="thick">
        <color rgb="FF3CACD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0" fillId="3" borderId="0" xfId="0" applyFill="1"/>
    <xf numFmtId="0" fontId="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9" fontId="0" fillId="3" borderId="0" xfId="0" applyNumberFormat="1" applyFill="1"/>
    <xf numFmtId="164" fontId="0" fillId="0" borderId="0" xfId="0" applyNumberForma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9" fontId="0" fillId="0" borderId="0" xfId="0" applyNumberFormat="1" applyFill="1"/>
    <xf numFmtId="164" fontId="0" fillId="3" borderId="0" xfId="0" applyNumberForma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3" fillId="5" borderId="0" xfId="0" applyFont="1" applyFill="1"/>
    <xf numFmtId="164" fontId="3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 vertical="center"/>
    </xf>
    <xf numFmtId="164" fontId="1" fillId="5" borderId="0" xfId="0" applyNumberFormat="1" applyFont="1" applyFill="1"/>
    <xf numFmtId="164" fontId="3" fillId="0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0" fillId="5" borderId="0" xfId="0" applyFill="1"/>
    <xf numFmtId="164" fontId="0" fillId="0" borderId="0" xfId="0" applyNumberForma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9" fontId="0" fillId="6" borderId="0" xfId="0" applyNumberFormat="1" applyFill="1"/>
    <xf numFmtId="164" fontId="0" fillId="2" borderId="0" xfId="0" applyNumberFormat="1" applyFill="1"/>
    <xf numFmtId="0" fontId="1" fillId="5" borderId="2" xfId="0" applyFont="1" applyFill="1" applyBorder="1" applyAlignment="1">
      <alignment horizontal="center"/>
    </xf>
    <xf numFmtId="164" fontId="0" fillId="0" borderId="3" xfId="0" applyNumberFormat="1" applyBorder="1"/>
    <xf numFmtId="164" fontId="1" fillId="5" borderId="4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3" xfId="0" applyBorder="1"/>
    <xf numFmtId="0" fontId="4" fillId="5" borderId="5" xfId="0" applyFont="1" applyFill="1" applyBorder="1" applyAlignment="1">
      <alignment horizontal="left"/>
    </xf>
    <xf numFmtId="0" fontId="0" fillId="5" borderId="6" xfId="0" applyFill="1" applyBorder="1"/>
    <xf numFmtId="0" fontId="0" fillId="0" borderId="8" xfId="0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 shrinkToFit="1"/>
    </xf>
    <xf numFmtId="0" fontId="0" fillId="5" borderId="11" xfId="0" applyFill="1" applyBorder="1"/>
    <xf numFmtId="0" fontId="0" fillId="5" borderId="12" xfId="0" applyFill="1" applyBorder="1"/>
    <xf numFmtId="0" fontId="5" fillId="5" borderId="13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3" borderId="0" xfId="0" applyNumberFormat="1" applyFill="1"/>
    <xf numFmtId="164" fontId="0" fillId="3" borderId="3" xfId="0" applyNumberFormat="1" applyFill="1" applyBorder="1"/>
    <xf numFmtId="0" fontId="0" fillId="6" borderId="0" xfId="0" applyFill="1" applyAlignment="1">
      <alignment horizontal="center" vertical="center"/>
    </xf>
    <xf numFmtId="9" fontId="0" fillId="6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15" xfId="0" applyFont="1" applyFill="1" applyBorder="1"/>
    <xf numFmtId="0" fontId="3" fillId="6" borderId="1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1" fillId="5" borderId="17" xfId="0" applyFont="1" applyFill="1" applyBorder="1"/>
    <xf numFmtId="0" fontId="3" fillId="5" borderId="17" xfId="0" applyFont="1" applyFill="1" applyBorder="1"/>
    <xf numFmtId="0" fontId="3" fillId="5" borderId="16" xfId="0" applyFont="1" applyFill="1" applyBorder="1"/>
    <xf numFmtId="0" fontId="5" fillId="9" borderId="7" xfId="0" applyNumberFormat="1" applyFont="1" applyFill="1" applyBorder="1" applyAlignment="1">
      <alignment horizontal="left"/>
    </xf>
    <xf numFmtId="4" fontId="5" fillId="9" borderId="7" xfId="0" applyNumberFormat="1" applyFont="1" applyFill="1" applyBorder="1" applyAlignment="1">
      <alignment horizontal="center" vertical="center"/>
    </xf>
    <xf numFmtId="0" fontId="6" fillId="7" borderId="20" xfId="0" applyNumberFormat="1" applyFont="1" applyFill="1" applyBorder="1" applyAlignment="1">
      <alignment horizontal="left"/>
    </xf>
    <xf numFmtId="0" fontId="6" fillId="7" borderId="21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0" fontId="6" fillId="10" borderId="20" xfId="0" applyNumberFormat="1" applyFont="1" applyFill="1" applyBorder="1" applyAlignment="1">
      <alignment horizontal="left"/>
    </xf>
    <xf numFmtId="0" fontId="6" fillId="10" borderId="19" xfId="0" applyNumberFormat="1" applyFont="1" applyFill="1" applyBorder="1" applyAlignment="1">
      <alignment horizontal="left"/>
    </xf>
    <xf numFmtId="0" fontId="9" fillId="9" borderId="8" xfId="0" applyNumberFormat="1" applyFont="1" applyFill="1" applyBorder="1" applyAlignment="1">
      <alignment horizontal="left"/>
    </xf>
    <xf numFmtId="166" fontId="9" fillId="9" borderId="8" xfId="0" applyNumberFormat="1" applyFont="1" applyFill="1" applyBorder="1" applyAlignment="1">
      <alignment horizontal="right"/>
    </xf>
    <xf numFmtId="0" fontId="9" fillId="11" borderId="18" xfId="0" applyNumberFormat="1" applyFont="1" applyFill="1" applyBorder="1" applyAlignment="1">
      <alignment horizontal="left"/>
    </xf>
    <xf numFmtId="0" fontId="9" fillId="9" borderId="18" xfId="0" applyNumberFormat="1" applyFont="1" applyFill="1" applyBorder="1" applyAlignment="1">
      <alignment horizontal="left"/>
    </xf>
    <xf numFmtId="166" fontId="9" fillId="9" borderId="18" xfId="0" applyNumberFormat="1" applyFont="1" applyFill="1" applyBorder="1" applyAlignment="1">
      <alignment horizontal="right"/>
    </xf>
    <xf numFmtId="166" fontId="9" fillId="11" borderId="18" xfId="0" applyNumberFormat="1" applyFont="1" applyFill="1" applyBorder="1" applyAlignment="1">
      <alignment horizontal="right"/>
    </xf>
    <xf numFmtId="0" fontId="6" fillId="10" borderId="8" xfId="0" applyNumberFormat="1" applyFont="1" applyFill="1" applyBorder="1" applyAlignment="1">
      <alignment horizontal="left"/>
    </xf>
    <xf numFmtId="167" fontId="6" fillId="7" borderId="20" xfId="0" applyNumberFormat="1" applyFont="1" applyFill="1" applyBorder="1" applyAlignment="1">
      <alignment horizontal="right"/>
    </xf>
    <xf numFmtId="167" fontId="8" fillId="10" borderId="20" xfId="0" applyNumberFormat="1" applyFont="1" applyFill="1" applyBorder="1" applyAlignment="1">
      <alignment horizontal="right"/>
    </xf>
    <xf numFmtId="167" fontId="8" fillId="7" borderId="20" xfId="0" applyNumberFormat="1" applyFont="1" applyFill="1" applyBorder="1" applyAlignment="1">
      <alignment horizontal="right"/>
    </xf>
    <xf numFmtId="167" fontId="8" fillId="10" borderId="19" xfId="0" applyNumberFormat="1" applyFont="1" applyFill="1" applyBorder="1" applyAlignment="1">
      <alignment horizontal="right"/>
    </xf>
    <xf numFmtId="167" fontId="6" fillId="7" borderId="21" xfId="0" applyNumberFormat="1" applyFont="1" applyFill="1" applyBorder="1" applyAlignment="1">
      <alignment horizontal="right"/>
    </xf>
    <xf numFmtId="167" fontId="8" fillId="0" borderId="8" xfId="0" applyNumberFormat="1" applyFont="1" applyFill="1" applyBorder="1" applyAlignment="1">
      <alignment horizontal="right"/>
    </xf>
    <xf numFmtId="164" fontId="7" fillId="8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9" xfId="0" applyFill="1" applyBorder="1" applyAlignment="1">
      <alignment wrapText="1" shrinkToFit="1"/>
    </xf>
    <xf numFmtId="168" fontId="1" fillId="5" borderId="0" xfId="0" applyNumberFormat="1" applyFont="1" applyFill="1"/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CACD1"/>
      <color rgb="FFB1DFED"/>
      <color rgb="FF3C0099"/>
      <color rgb="FF990099"/>
      <color rgb="FF9900CC"/>
      <color rgb="FFB300F2"/>
      <color rgb="FFB53DAC"/>
      <color rgb="FFD7B6FC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1035170</xdr:colOff>
      <xdr:row>5</xdr:row>
      <xdr:rowOff>129396</xdr:rowOff>
    </xdr:to>
    <xdr:pic>
      <xdr:nvPicPr>
        <xdr:cNvPr id="2" name="Imagen 1" descr="IJ_CultEmp_logo_E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0000" t="9925" r="22500" b="8746"/>
        <a:stretch>
          <a:fillRect/>
        </a:stretch>
      </xdr:blipFill>
      <xdr:spPr>
        <a:xfrm>
          <a:off x="0" y="0"/>
          <a:ext cx="1035170" cy="1035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836762</xdr:colOff>
      <xdr:row>5</xdr:row>
      <xdr:rowOff>155275</xdr:rowOff>
    </xdr:to>
    <xdr:pic>
      <xdr:nvPicPr>
        <xdr:cNvPr id="2" name="Imagen 1" descr="IJ_CultEmp_logo_E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0000" t="9925" r="22500" b="8746"/>
        <a:stretch>
          <a:fillRect/>
        </a:stretch>
      </xdr:blipFill>
      <xdr:spPr>
        <a:xfrm>
          <a:off x="0" y="0"/>
          <a:ext cx="1061049" cy="10610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862642</xdr:colOff>
      <xdr:row>5</xdr:row>
      <xdr:rowOff>146649</xdr:rowOff>
    </xdr:to>
    <xdr:pic>
      <xdr:nvPicPr>
        <xdr:cNvPr id="2" name="Imagen 1" descr="IJ_CultEmp_logo_E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0000" t="9925" r="22500" b="8746"/>
        <a:stretch>
          <a:fillRect/>
        </a:stretch>
      </xdr:blipFill>
      <xdr:spPr>
        <a:xfrm>
          <a:off x="0" y="0"/>
          <a:ext cx="1052423" cy="10524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612476</xdr:colOff>
      <xdr:row>5</xdr:row>
      <xdr:rowOff>103517</xdr:rowOff>
    </xdr:to>
    <xdr:pic>
      <xdr:nvPicPr>
        <xdr:cNvPr id="2" name="Imagen 1" descr="IJ_CultEmp_logo_E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0000" t="9925" r="22500" b="8746"/>
        <a:stretch>
          <a:fillRect/>
        </a:stretch>
      </xdr:blipFill>
      <xdr:spPr>
        <a:xfrm>
          <a:off x="0" y="0"/>
          <a:ext cx="1009291" cy="1009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353683</xdr:colOff>
      <xdr:row>5</xdr:row>
      <xdr:rowOff>103517</xdr:rowOff>
    </xdr:to>
    <xdr:pic>
      <xdr:nvPicPr>
        <xdr:cNvPr id="2" name="Imagen 1" descr="IJ_CultEmp_logo_E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0000" t="9925" r="22500" b="8746"/>
        <a:stretch>
          <a:fillRect/>
        </a:stretch>
      </xdr:blipFill>
      <xdr:spPr>
        <a:xfrm>
          <a:off x="0" y="0"/>
          <a:ext cx="1009291" cy="1009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8626</xdr:colOff>
      <xdr:row>0</xdr:row>
      <xdr:rowOff>0</xdr:rowOff>
    </xdr:from>
    <xdr:to>
      <xdr:col>1</xdr:col>
      <xdr:colOff>750498</xdr:colOff>
      <xdr:row>5</xdr:row>
      <xdr:rowOff>138023</xdr:rowOff>
    </xdr:to>
    <xdr:pic>
      <xdr:nvPicPr>
        <xdr:cNvPr id="2" name="Imagen 1" descr="IJ_CultEmp_logo_E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0000" t="9925" r="22500" b="8746"/>
        <a:stretch>
          <a:fillRect/>
        </a:stretch>
      </xdr:blipFill>
      <xdr:spPr>
        <a:xfrm>
          <a:off x="8626" y="0"/>
          <a:ext cx="1043797" cy="10437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8626</xdr:colOff>
      <xdr:row>0</xdr:row>
      <xdr:rowOff>0</xdr:rowOff>
    </xdr:from>
    <xdr:to>
      <xdr:col>1</xdr:col>
      <xdr:colOff>750498</xdr:colOff>
      <xdr:row>5</xdr:row>
      <xdr:rowOff>138023</xdr:rowOff>
    </xdr:to>
    <xdr:pic>
      <xdr:nvPicPr>
        <xdr:cNvPr id="2" name="Imagen 1" descr="IJ_CultEmp_logo_E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20000" t="9925" r="22500" b="8746"/>
        <a:stretch>
          <a:fillRect/>
        </a:stretch>
      </xdr:blipFill>
      <xdr:spPr>
        <a:xfrm>
          <a:off x="8626" y="0"/>
          <a:ext cx="1043797" cy="1043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9"/>
  <sheetViews>
    <sheetView showGridLines="0" tabSelected="1" workbookViewId="0">
      <selection activeCell="B8" sqref="B8"/>
    </sheetView>
  </sheetViews>
  <sheetFormatPr baseColWidth="10" defaultRowHeight="14.4" x14ac:dyDescent="0.3"/>
  <cols>
    <col min="1" max="1" width="58.33203125" customWidth="1"/>
    <col min="2" max="2" width="27.6640625" customWidth="1"/>
    <col min="3" max="3" width="25" customWidth="1"/>
    <col min="4" max="4" width="28.44140625" customWidth="1"/>
  </cols>
  <sheetData>
    <row r="2" spans="1:4" x14ac:dyDescent="0.3">
      <c r="B2" s="3" t="s">
        <v>117</v>
      </c>
    </row>
    <row r="6" spans="1:4" ht="15" thickBot="1" x14ac:dyDescent="0.35">
      <c r="A6" s="52"/>
      <c r="B6" s="52"/>
      <c r="C6" s="52"/>
      <c r="D6" s="52"/>
    </row>
    <row r="7" spans="1:4" ht="32.4" thickTop="1" thickBot="1" x14ac:dyDescent="0.65">
      <c r="A7" s="44" t="s">
        <v>80</v>
      </c>
      <c r="B7" s="49"/>
      <c r="C7" s="50"/>
      <c r="D7" s="45"/>
    </row>
    <row r="8" spans="1:4" ht="16.8" thickTop="1" thickBot="1" x14ac:dyDescent="0.35">
      <c r="A8" s="47" t="s">
        <v>81</v>
      </c>
      <c r="B8" s="90"/>
      <c r="C8" s="48"/>
      <c r="D8" s="48"/>
    </row>
    <row r="9" spans="1:4" ht="16.8" thickTop="1" thickBot="1" x14ac:dyDescent="0.35">
      <c r="A9" s="47" t="s">
        <v>129</v>
      </c>
      <c r="B9" s="46"/>
      <c r="C9" s="46"/>
      <c r="D9" s="46"/>
    </row>
    <row r="10" spans="1:4" ht="16.8" thickTop="1" thickBot="1" x14ac:dyDescent="0.35">
      <c r="A10" s="47" t="s">
        <v>82</v>
      </c>
      <c r="B10" s="46"/>
      <c r="C10" s="46"/>
      <c r="D10" s="46"/>
    </row>
    <row r="11" spans="1:4" ht="16.8" thickTop="1" thickBot="1" x14ac:dyDescent="0.35">
      <c r="A11" s="47" t="s">
        <v>83</v>
      </c>
      <c r="B11" s="46"/>
      <c r="C11" s="46"/>
      <c r="D11" s="46"/>
    </row>
    <row r="12" spans="1:4" ht="16.8" thickTop="1" thickBot="1" x14ac:dyDescent="0.35">
      <c r="A12" s="47" t="s">
        <v>84</v>
      </c>
      <c r="B12" s="46"/>
      <c r="C12" s="46"/>
      <c r="D12" s="46"/>
    </row>
    <row r="13" spans="1:4" ht="16.8" thickTop="1" thickBot="1" x14ac:dyDescent="0.35">
      <c r="A13" s="47" t="s">
        <v>85</v>
      </c>
      <c r="B13" s="46"/>
      <c r="C13" s="46"/>
      <c r="D13" s="46"/>
    </row>
    <row r="14" spans="1:4" ht="16.8" thickTop="1" thickBot="1" x14ac:dyDescent="0.35">
      <c r="A14" s="47" t="s">
        <v>86</v>
      </c>
      <c r="B14" s="46"/>
      <c r="C14" s="46"/>
      <c r="D14" s="46"/>
    </row>
    <row r="15" spans="1:4" ht="16.8" thickTop="1" thickBot="1" x14ac:dyDescent="0.35">
      <c r="A15" s="47" t="s">
        <v>87</v>
      </c>
      <c r="B15" s="46"/>
      <c r="C15" s="46"/>
      <c r="D15" s="46"/>
    </row>
    <row r="16" spans="1:4" ht="16.8" thickTop="1" thickBot="1" x14ac:dyDescent="0.35">
      <c r="A16" s="47" t="s">
        <v>88</v>
      </c>
      <c r="B16" s="46"/>
      <c r="C16" s="46"/>
      <c r="D16" s="46"/>
    </row>
    <row r="17" spans="1:4" ht="16.8" thickTop="1" thickBot="1" x14ac:dyDescent="0.35">
      <c r="A17" s="47" t="s">
        <v>89</v>
      </c>
      <c r="B17" s="46"/>
      <c r="C17" s="46"/>
      <c r="D17" s="46"/>
    </row>
    <row r="18" spans="1:4" ht="16.8" thickTop="1" thickBot="1" x14ac:dyDescent="0.35">
      <c r="A18" s="47" t="s">
        <v>90</v>
      </c>
      <c r="B18" s="46"/>
      <c r="C18" s="46"/>
      <c r="D18" s="46"/>
    </row>
    <row r="19" spans="1:4" ht="16.8" thickTop="1" thickBot="1" x14ac:dyDescent="0.35">
      <c r="A19" s="47" t="s">
        <v>91</v>
      </c>
      <c r="B19" s="46"/>
      <c r="C19" s="46"/>
      <c r="D19" s="46"/>
    </row>
    <row r="20" spans="1:4" ht="16.8" thickTop="1" thickBot="1" x14ac:dyDescent="0.35">
      <c r="A20" s="47" t="s">
        <v>92</v>
      </c>
      <c r="B20" s="46"/>
      <c r="C20" s="46"/>
      <c r="D20" s="46"/>
    </row>
    <row r="21" spans="1:4" ht="16.8" thickTop="1" thickBot="1" x14ac:dyDescent="0.35">
      <c r="A21" s="47" t="s">
        <v>93</v>
      </c>
      <c r="B21" s="46"/>
      <c r="C21" s="46"/>
      <c r="D21" s="46"/>
    </row>
    <row r="22" spans="1:4" ht="16.8" thickTop="1" thickBot="1" x14ac:dyDescent="0.35">
      <c r="A22" s="47" t="s">
        <v>94</v>
      </c>
      <c r="B22" s="46"/>
      <c r="C22" s="46"/>
      <c r="D22" s="46"/>
    </row>
    <row r="23" spans="1:4" ht="16.8" thickTop="1" thickBot="1" x14ac:dyDescent="0.35">
      <c r="A23" s="47" t="s">
        <v>95</v>
      </c>
      <c r="B23" s="46"/>
      <c r="C23" s="46"/>
      <c r="D23" s="46"/>
    </row>
    <row r="24" spans="1:4" ht="16.8" thickTop="1" thickBot="1" x14ac:dyDescent="0.35">
      <c r="A24" s="47" t="s">
        <v>96</v>
      </c>
      <c r="B24" s="46"/>
      <c r="C24" s="46"/>
      <c r="D24" s="46"/>
    </row>
    <row r="25" spans="1:4" ht="16.8" thickTop="1" thickBot="1" x14ac:dyDescent="0.35">
      <c r="A25" s="47" t="s">
        <v>97</v>
      </c>
      <c r="B25" s="46"/>
      <c r="C25" s="46"/>
      <c r="D25" s="46"/>
    </row>
    <row r="26" spans="1:4" ht="16.8" thickTop="1" thickBot="1" x14ac:dyDescent="0.35">
      <c r="A26" s="47" t="s">
        <v>98</v>
      </c>
      <c r="B26" s="46"/>
      <c r="C26" s="46"/>
      <c r="D26" s="46"/>
    </row>
    <row r="27" spans="1:4" ht="16.8" thickTop="1" thickBot="1" x14ac:dyDescent="0.35">
      <c r="A27" s="47" t="s">
        <v>99</v>
      </c>
      <c r="B27" s="46"/>
      <c r="C27" s="46"/>
      <c r="D27" s="46"/>
    </row>
    <row r="28" spans="1:4" ht="16.8" thickTop="1" thickBot="1" x14ac:dyDescent="0.35">
      <c r="A28" s="51" t="s">
        <v>100</v>
      </c>
      <c r="B28" s="46"/>
      <c r="C28" s="46"/>
      <c r="D28" s="46"/>
    </row>
    <row r="29" spans="1:4" ht="15" thickTop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61"/>
  <sheetViews>
    <sheetView showGridLines="0" topLeftCell="A10" workbookViewId="0">
      <selection activeCell="Q8" sqref="Q8"/>
    </sheetView>
  </sheetViews>
  <sheetFormatPr baseColWidth="10" defaultRowHeight="14.4" x14ac:dyDescent="0.3"/>
  <cols>
    <col min="1" max="1" width="3.33203125" customWidth="1"/>
    <col min="2" max="2" width="30.6640625" customWidth="1"/>
    <col min="3" max="3" width="9.109375" customWidth="1"/>
    <col min="4" max="4" width="14.5546875" customWidth="1"/>
    <col min="5" max="15" width="11.5546875" customWidth="1"/>
    <col min="17" max="17" width="20" customWidth="1"/>
    <col min="18" max="18" width="15.88671875" customWidth="1"/>
  </cols>
  <sheetData>
    <row r="2" spans="1:18" x14ac:dyDescent="0.3">
      <c r="D2" s="3" t="s">
        <v>117</v>
      </c>
    </row>
    <row r="6" spans="1:18" ht="15" thickBot="1" x14ac:dyDescent="0.35"/>
    <row r="7" spans="1:18" x14ac:dyDescent="0.3">
      <c r="A7" s="18" t="s">
        <v>77</v>
      </c>
      <c r="B7" s="18"/>
      <c r="C7" s="18" t="s">
        <v>13</v>
      </c>
      <c r="D7" s="32" t="s">
        <v>0</v>
      </c>
      <c r="E7" s="32" t="s">
        <v>1</v>
      </c>
      <c r="F7" s="32" t="s">
        <v>2</v>
      </c>
      <c r="G7" s="32" t="s">
        <v>3</v>
      </c>
      <c r="H7" s="32" t="s">
        <v>4</v>
      </c>
      <c r="I7" s="32" t="s">
        <v>5</v>
      </c>
      <c r="J7" s="32" t="s">
        <v>6</v>
      </c>
      <c r="K7" s="32" t="s">
        <v>7</v>
      </c>
      <c r="L7" s="32" t="s">
        <v>8</v>
      </c>
      <c r="M7" s="32" t="s">
        <v>9</v>
      </c>
      <c r="N7" s="32" t="s">
        <v>10</v>
      </c>
      <c r="O7" s="32" t="s">
        <v>11</v>
      </c>
      <c r="P7" s="38" t="s">
        <v>41</v>
      </c>
      <c r="Q7" s="32" t="s">
        <v>47</v>
      </c>
      <c r="R7" s="32" t="s">
        <v>48</v>
      </c>
    </row>
    <row r="8" spans="1:18" x14ac:dyDescent="0.3">
      <c r="A8" s="1" t="s">
        <v>140</v>
      </c>
      <c r="B8" s="1"/>
      <c r="C8" s="3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1">
        <f>SUM(D8:O8)</f>
        <v>0</v>
      </c>
      <c r="Q8" s="34"/>
      <c r="R8" s="34"/>
    </row>
    <row r="9" spans="1:18" x14ac:dyDescent="0.3">
      <c r="A9" s="1" t="s">
        <v>24</v>
      </c>
      <c r="B9" s="1"/>
      <c r="C9" s="36">
        <v>0.21</v>
      </c>
      <c r="D9" s="35">
        <v>600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1">
        <f t="shared" ref="P9:P20" si="0">SUM(D9:O9)</f>
        <v>600</v>
      </c>
      <c r="Q9" s="34"/>
      <c r="R9" s="34"/>
    </row>
    <row r="10" spans="1:18" x14ac:dyDescent="0.3">
      <c r="A10" s="1" t="s">
        <v>14</v>
      </c>
      <c r="B10" s="1"/>
      <c r="C10" s="36">
        <v>0.21</v>
      </c>
      <c r="D10" s="35">
        <v>13</v>
      </c>
      <c r="E10" s="35"/>
      <c r="F10" s="35">
        <v>250</v>
      </c>
      <c r="G10" s="35"/>
      <c r="H10" s="35"/>
      <c r="I10" s="35">
        <v>300</v>
      </c>
      <c r="J10" s="35"/>
      <c r="K10" s="35"/>
      <c r="L10" s="35"/>
      <c r="M10" s="35"/>
      <c r="N10" s="35"/>
      <c r="O10" s="35"/>
      <c r="P10" s="41">
        <f t="shared" si="0"/>
        <v>563</v>
      </c>
      <c r="Q10" s="36">
        <v>0.33</v>
      </c>
      <c r="R10" s="34">
        <v>6</v>
      </c>
    </row>
    <row r="11" spans="1:18" x14ac:dyDescent="0.3">
      <c r="A11" s="1" t="s">
        <v>25</v>
      </c>
      <c r="B11" s="1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1">
        <f t="shared" si="0"/>
        <v>0</v>
      </c>
      <c r="Q11" s="34"/>
      <c r="R11" s="34"/>
    </row>
    <row r="12" spans="1:18" x14ac:dyDescent="0.3">
      <c r="A12" s="1" t="s">
        <v>26</v>
      </c>
      <c r="B12" s="1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1">
        <f t="shared" si="0"/>
        <v>0</v>
      </c>
      <c r="Q12" s="36">
        <v>0.02</v>
      </c>
      <c r="R12" s="34">
        <v>100</v>
      </c>
    </row>
    <row r="13" spans="1:18" x14ac:dyDescent="0.3">
      <c r="A13" s="1" t="s">
        <v>134</v>
      </c>
      <c r="B13" s="1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1">
        <f>SUM(D13:O13)</f>
        <v>0</v>
      </c>
      <c r="Q13" s="36">
        <v>0.1</v>
      </c>
      <c r="R13" s="34">
        <v>20</v>
      </c>
    </row>
    <row r="14" spans="1:18" x14ac:dyDescent="0.3">
      <c r="A14" s="1" t="s">
        <v>132</v>
      </c>
      <c r="B14" s="1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41">
        <f t="shared" si="0"/>
        <v>0</v>
      </c>
      <c r="Q14" s="36"/>
      <c r="R14" s="34"/>
    </row>
    <row r="15" spans="1:18" x14ac:dyDescent="0.3">
      <c r="A15" s="1" t="s">
        <v>130</v>
      </c>
      <c r="B15" s="1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1">
        <f t="shared" si="0"/>
        <v>0</v>
      </c>
      <c r="Q15" s="36">
        <v>0.12</v>
      </c>
      <c r="R15" s="34">
        <v>18</v>
      </c>
    </row>
    <row r="16" spans="1:18" x14ac:dyDescent="0.3">
      <c r="A16" s="1" t="s">
        <v>21</v>
      </c>
      <c r="B16" s="1"/>
      <c r="C16" s="36">
        <v>0.21</v>
      </c>
      <c r="D16" s="35">
        <f>400+190</f>
        <v>590</v>
      </c>
      <c r="E16" s="35">
        <v>520</v>
      </c>
      <c r="F16" s="35">
        <v>200</v>
      </c>
      <c r="G16" s="35">
        <v>300</v>
      </c>
      <c r="H16" s="35">
        <v>500</v>
      </c>
      <c r="I16" s="35">
        <v>600</v>
      </c>
      <c r="J16" s="35">
        <v>500</v>
      </c>
      <c r="K16" s="35">
        <v>100</v>
      </c>
      <c r="L16" s="35">
        <v>300</v>
      </c>
      <c r="M16" s="35">
        <v>700</v>
      </c>
      <c r="N16" s="35">
        <v>200</v>
      </c>
      <c r="O16" s="35">
        <v>1000</v>
      </c>
      <c r="P16" s="41">
        <f t="shared" si="0"/>
        <v>5510</v>
      </c>
      <c r="Q16" s="36">
        <v>0.1</v>
      </c>
      <c r="R16" s="34">
        <v>20</v>
      </c>
    </row>
    <row r="17" spans="1:18" x14ac:dyDescent="0.3">
      <c r="A17" s="1" t="s">
        <v>22</v>
      </c>
      <c r="B17" s="1"/>
      <c r="C17" s="36">
        <v>0.21</v>
      </c>
      <c r="D17" s="35">
        <f>1331.1+129.74</f>
        <v>1460.84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1">
        <f t="shared" si="0"/>
        <v>1460.84</v>
      </c>
      <c r="Q17" s="36">
        <v>0.25</v>
      </c>
      <c r="R17" s="34">
        <v>8</v>
      </c>
    </row>
    <row r="18" spans="1:18" x14ac:dyDescent="0.3">
      <c r="A18" s="1" t="s">
        <v>131</v>
      </c>
      <c r="B18" s="1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1">
        <f>SUM(D18:O18)</f>
        <v>0</v>
      </c>
      <c r="Q18" s="36">
        <v>0.16</v>
      </c>
      <c r="R18" s="34">
        <v>14</v>
      </c>
    </row>
    <row r="19" spans="1:18" x14ac:dyDescent="0.3">
      <c r="A19" s="1" t="s">
        <v>133</v>
      </c>
      <c r="B19" s="1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1">
        <f t="shared" si="0"/>
        <v>0</v>
      </c>
      <c r="Q19" s="34"/>
      <c r="R19" s="34"/>
    </row>
    <row r="20" spans="1:18" x14ac:dyDescent="0.3">
      <c r="A20" s="1" t="s">
        <v>23</v>
      </c>
      <c r="B20" s="1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1">
        <f t="shared" si="0"/>
        <v>0</v>
      </c>
      <c r="Q20" s="34"/>
      <c r="R20" s="34"/>
    </row>
    <row r="21" spans="1:18" x14ac:dyDescent="0.3">
      <c r="A21" s="18" t="s">
        <v>41</v>
      </c>
      <c r="B21" s="18"/>
      <c r="C21" s="18"/>
      <c r="D21" s="33">
        <f t="shared" ref="D21:P21" si="1">SUM(D8:D20)</f>
        <v>2663.84</v>
      </c>
      <c r="E21" s="33">
        <f t="shared" si="1"/>
        <v>520</v>
      </c>
      <c r="F21" s="33">
        <f t="shared" si="1"/>
        <v>450</v>
      </c>
      <c r="G21" s="33">
        <f t="shared" si="1"/>
        <v>300</v>
      </c>
      <c r="H21" s="33">
        <f t="shared" si="1"/>
        <v>500</v>
      </c>
      <c r="I21" s="33">
        <f t="shared" si="1"/>
        <v>900</v>
      </c>
      <c r="J21" s="33">
        <f t="shared" si="1"/>
        <v>500</v>
      </c>
      <c r="K21" s="33">
        <f t="shared" si="1"/>
        <v>100</v>
      </c>
      <c r="L21" s="33">
        <f t="shared" si="1"/>
        <v>300</v>
      </c>
      <c r="M21" s="33">
        <f t="shared" si="1"/>
        <v>700</v>
      </c>
      <c r="N21" s="33">
        <f t="shared" si="1"/>
        <v>200</v>
      </c>
      <c r="O21" s="33">
        <f t="shared" si="1"/>
        <v>1000</v>
      </c>
      <c r="P21" s="42">
        <f t="shared" si="1"/>
        <v>8133.84</v>
      </c>
      <c r="Q21" s="32"/>
      <c r="R21" s="32"/>
    </row>
    <row r="22" spans="1:18" x14ac:dyDescent="0.3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9"/>
    </row>
    <row r="23" spans="1:18" x14ac:dyDescent="0.3">
      <c r="A23" s="18" t="s">
        <v>57</v>
      </c>
      <c r="B23" s="18"/>
      <c r="C23" s="18"/>
      <c r="D23" s="33">
        <f t="shared" ref="D23:P23" si="2">(D8*(1+$C$8))+(D9*(1+$C$9))+(D10*(1+$C$10))+(D11*(1+$C$11))+(D12*(1+$C$12))+(D14*(1+$C$14))+(D15*(1+$C$15))+(D13*(1+$C$13))+(D16*(1+$C$16))+(D17*(1+$C$17))+(D19*(1+$C$19))+(D18*(1+$C$18))+(D20*(1+$C$20))</f>
        <v>3223.2464</v>
      </c>
      <c r="E23" s="33">
        <f t="shared" si="2"/>
        <v>629.19999999999993</v>
      </c>
      <c r="F23" s="33">
        <f t="shared" si="2"/>
        <v>544.5</v>
      </c>
      <c r="G23" s="33">
        <f t="shared" si="2"/>
        <v>363</v>
      </c>
      <c r="H23" s="33">
        <f t="shared" si="2"/>
        <v>605</v>
      </c>
      <c r="I23" s="33">
        <f t="shared" si="2"/>
        <v>1089</v>
      </c>
      <c r="J23" s="33">
        <f t="shared" si="2"/>
        <v>605</v>
      </c>
      <c r="K23" s="33">
        <f t="shared" si="2"/>
        <v>121</v>
      </c>
      <c r="L23" s="33">
        <f t="shared" si="2"/>
        <v>363</v>
      </c>
      <c r="M23" s="33">
        <f t="shared" si="2"/>
        <v>847</v>
      </c>
      <c r="N23" s="33">
        <f t="shared" si="2"/>
        <v>242</v>
      </c>
      <c r="O23" s="33">
        <f t="shared" si="2"/>
        <v>1210</v>
      </c>
      <c r="P23" s="33">
        <f t="shared" si="2"/>
        <v>9841.9464000000007</v>
      </c>
      <c r="Q23" s="32"/>
      <c r="R23" s="32"/>
    </row>
    <row r="24" spans="1:18" x14ac:dyDescent="0.3">
      <c r="P24" s="43"/>
    </row>
    <row r="25" spans="1:18" ht="15" thickBot="1" x14ac:dyDescent="0.35">
      <c r="A25" s="18" t="s">
        <v>79</v>
      </c>
      <c r="B25" s="18"/>
      <c r="C25" s="18"/>
      <c r="D25" s="33">
        <f>D23-D21</f>
        <v>559.40639999999985</v>
      </c>
      <c r="E25" s="33">
        <f t="shared" ref="E25:O25" si="3">E23-E21</f>
        <v>109.19999999999993</v>
      </c>
      <c r="F25" s="33">
        <f t="shared" si="3"/>
        <v>94.5</v>
      </c>
      <c r="G25" s="33">
        <f t="shared" si="3"/>
        <v>63</v>
      </c>
      <c r="H25" s="33">
        <f t="shared" si="3"/>
        <v>105</v>
      </c>
      <c r="I25" s="33">
        <f t="shared" si="3"/>
        <v>189</v>
      </c>
      <c r="J25" s="33">
        <f t="shared" si="3"/>
        <v>105</v>
      </c>
      <c r="K25" s="33">
        <f t="shared" si="3"/>
        <v>21</v>
      </c>
      <c r="L25" s="33">
        <f t="shared" si="3"/>
        <v>63</v>
      </c>
      <c r="M25" s="33">
        <f t="shared" si="3"/>
        <v>147</v>
      </c>
      <c r="N25" s="33">
        <f t="shared" si="3"/>
        <v>42</v>
      </c>
      <c r="O25" s="33">
        <f t="shared" si="3"/>
        <v>210</v>
      </c>
      <c r="P25" s="40">
        <f>SUM(D25:O25)</f>
        <v>1708.1063999999997</v>
      </c>
      <c r="Q25" s="32"/>
      <c r="R25" s="32"/>
    </row>
    <row r="26" spans="1:18" ht="15" thickBot="1" x14ac:dyDescent="0.35"/>
    <row r="27" spans="1:18" ht="28.8" x14ac:dyDescent="0.3">
      <c r="A27" s="18" t="s">
        <v>64</v>
      </c>
      <c r="B27" s="18"/>
      <c r="C27" s="38" t="s">
        <v>41</v>
      </c>
      <c r="D27" s="92" t="s">
        <v>78</v>
      </c>
    </row>
    <row r="28" spans="1:18" x14ac:dyDescent="0.3">
      <c r="A28" s="1" t="s">
        <v>140</v>
      </c>
      <c r="B28" s="1"/>
      <c r="C28" s="54">
        <f>+P47</f>
        <v>0</v>
      </c>
      <c r="D28" s="54">
        <f>+Q47</f>
        <v>0</v>
      </c>
    </row>
    <row r="29" spans="1:18" x14ac:dyDescent="0.3">
      <c r="A29" s="1" t="s">
        <v>24</v>
      </c>
      <c r="B29" s="1"/>
      <c r="C29" s="54">
        <f t="shared" ref="C29:D29" si="4">+P48</f>
        <v>0</v>
      </c>
      <c r="D29" s="54">
        <f t="shared" si="4"/>
        <v>600</v>
      </c>
    </row>
    <row r="30" spans="1:18" x14ac:dyDescent="0.3">
      <c r="A30" s="1" t="s">
        <v>14</v>
      </c>
      <c r="B30" s="1"/>
      <c r="C30" s="54">
        <f t="shared" ref="C30:D30" si="5">+P49</f>
        <v>130.79</v>
      </c>
      <c r="D30" s="54">
        <f t="shared" si="5"/>
        <v>432.21000000000004</v>
      </c>
    </row>
    <row r="31" spans="1:18" x14ac:dyDescent="0.3">
      <c r="A31" s="1" t="s">
        <v>25</v>
      </c>
      <c r="B31" s="1"/>
      <c r="C31" s="54">
        <f t="shared" ref="C31:D31" si="6">+P50</f>
        <v>0</v>
      </c>
      <c r="D31" s="54">
        <f t="shared" si="6"/>
        <v>0</v>
      </c>
    </row>
    <row r="32" spans="1:18" x14ac:dyDescent="0.3">
      <c r="A32" s="1" t="s">
        <v>26</v>
      </c>
      <c r="B32" s="1"/>
      <c r="C32" s="54">
        <f t="shared" ref="C32:D32" si="7">+P51</f>
        <v>0</v>
      </c>
      <c r="D32" s="54">
        <f t="shared" si="7"/>
        <v>0</v>
      </c>
    </row>
    <row r="33" spans="1:18" x14ac:dyDescent="0.3">
      <c r="A33" s="1" t="s">
        <v>134</v>
      </c>
      <c r="B33" s="1"/>
      <c r="C33" s="54">
        <f t="shared" ref="C33:D33" si="8">+P52</f>
        <v>0</v>
      </c>
      <c r="D33" s="54">
        <f t="shared" si="8"/>
        <v>0</v>
      </c>
    </row>
    <row r="34" spans="1:18" x14ac:dyDescent="0.3">
      <c r="A34" s="1" t="s">
        <v>132</v>
      </c>
      <c r="B34" s="1"/>
      <c r="C34" s="54">
        <f t="shared" ref="C34:D34" si="9">+P53</f>
        <v>0</v>
      </c>
      <c r="D34" s="54">
        <f t="shared" si="9"/>
        <v>0</v>
      </c>
    </row>
    <row r="35" spans="1:18" x14ac:dyDescent="0.3">
      <c r="A35" s="1" t="s">
        <v>130</v>
      </c>
      <c r="B35" s="1"/>
      <c r="C35" s="54">
        <f t="shared" ref="C35:D35" si="10">+P54</f>
        <v>0</v>
      </c>
      <c r="D35" s="54">
        <f t="shared" si="10"/>
        <v>0</v>
      </c>
    </row>
    <row r="36" spans="1:18" x14ac:dyDescent="0.3">
      <c r="A36" s="1" t="s">
        <v>21</v>
      </c>
      <c r="B36" s="1"/>
      <c r="C36" s="54">
        <f t="shared" ref="C36:D36" si="11">+P55</f>
        <v>282.5</v>
      </c>
      <c r="D36" s="54">
        <f t="shared" si="11"/>
        <v>5227.5</v>
      </c>
    </row>
    <row r="37" spans="1:18" x14ac:dyDescent="0.3">
      <c r="A37" s="1" t="s">
        <v>22</v>
      </c>
      <c r="B37" s="1"/>
      <c r="C37" s="54">
        <f t="shared" ref="C37:D37" si="12">+P56</f>
        <v>365.21</v>
      </c>
      <c r="D37" s="54">
        <f t="shared" si="12"/>
        <v>1095.6299999999999</v>
      </c>
    </row>
    <row r="38" spans="1:18" x14ac:dyDescent="0.3">
      <c r="A38" s="1" t="s">
        <v>131</v>
      </c>
      <c r="B38" s="1"/>
      <c r="C38" s="54">
        <f t="shared" ref="C38:D38" si="13">+P57</f>
        <v>0</v>
      </c>
      <c r="D38" s="54">
        <f t="shared" si="13"/>
        <v>0</v>
      </c>
    </row>
    <row r="39" spans="1:18" x14ac:dyDescent="0.3">
      <c r="A39" s="1" t="s">
        <v>133</v>
      </c>
      <c r="B39" s="1"/>
      <c r="C39" s="54">
        <f t="shared" ref="C39:D39" si="14">+P58</f>
        <v>0</v>
      </c>
      <c r="D39" s="54">
        <f t="shared" si="14"/>
        <v>0</v>
      </c>
    </row>
    <row r="40" spans="1:18" x14ac:dyDescent="0.3">
      <c r="A40" s="1" t="s">
        <v>23</v>
      </c>
      <c r="B40" s="1"/>
      <c r="C40" s="54">
        <f t="shared" ref="C40:D40" si="15">+P59</f>
        <v>0</v>
      </c>
      <c r="D40" s="54">
        <f t="shared" si="15"/>
        <v>0</v>
      </c>
    </row>
    <row r="41" spans="1:18" x14ac:dyDescent="0.3">
      <c r="A41" s="18"/>
      <c r="B41" s="18"/>
      <c r="C41" s="91">
        <f t="shared" ref="C41:D41" si="16">+P60</f>
        <v>778.5</v>
      </c>
      <c r="D41" s="91">
        <f t="shared" si="16"/>
        <v>1521.2916666666667</v>
      </c>
    </row>
    <row r="45" spans="1:18" ht="15" hidden="1" thickBot="1" x14ac:dyDescent="0.35"/>
    <row r="46" spans="1:18" hidden="1" x14ac:dyDescent="0.3">
      <c r="A46" s="18" t="s">
        <v>64</v>
      </c>
      <c r="B46" s="18"/>
      <c r="C46" s="18"/>
      <c r="D46" s="32" t="s">
        <v>0</v>
      </c>
      <c r="E46" s="32" t="s">
        <v>1</v>
      </c>
      <c r="F46" s="32" t="s">
        <v>2</v>
      </c>
      <c r="G46" s="32" t="s">
        <v>3</v>
      </c>
      <c r="H46" s="32" t="s">
        <v>4</v>
      </c>
      <c r="I46" s="32" t="s">
        <v>5</v>
      </c>
      <c r="J46" s="32" t="s">
        <v>6</v>
      </c>
      <c r="K46" s="32" t="s">
        <v>7</v>
      </c>
      <c r="L46" s="32" t="s">
        <v>8</v>
      </c>
      <c r="M46" s="32" t="s">
        <v>9</v>
      </c>
      <c r="N46" s="32" t="s">
        <v>10</v>
      </c>
      <c r="O46" s="32" t="s">
        <v>11</v>
      </c>
      <c r="P46" s="38" t="s">
        <v>41</v>
      </c>
      <c r="Q46" s="32" t="s">
        <v>78</v>
      </c>
      <c r="R46" s="32"/>
    </row>
    <row r="47" spans="1:18" hidden="1" x14ac:dyDescent="0.3">
      <c r="A47" s="2"/>
      <c r="B47" s="2"/>
      <c r="C47" s="2"/>
      <c r="D47" s="53">
        <f>D8*$Q$8/12</f>
        <v>0</v>
      </c>
      <c r="E47" s="53">
        <f>$D$8*$Q$8/12+$E$8*$Q$8/12</f>
        <v>0</v>
      </c>
      <c r="F47" s="53">
        <f>$D$8*$Q$8/12+$E$8*$Q$8/12+$F$8*$Q$8/12</f>
        <v>0</v>
      </c>
      <c r="G47" s="53">
        <f>$D$8*$Q$8/12+$E$8*$Q$8/12+$F$8*$Q$8/12+$G$8*$Q$8/12</f>
        <v>0</v>
      </c>
      <c r="H47" s="53">
        <f>$D$8*$Q$8/12+$E$8*$Q$8/12+$F$8*$Q$8/12+$G$8*$Q$8/12+$H$8*$Q$8/12</f>
        <v>0</v>
      </c>
      <c r="I47" s="53">
        <f>$D$8*$Q$8/12+$E$8*$Q$8/12+$F$8*$Q$8/12+$G$8*$Q$8/12+$H$8*$Q$8/12+$I$8*$Q$8/12</f>
        <v>0</v>
      </c>
      <c r="J47" s="53">
        <f>$D$8*$Q$8/12+$E$8*$Q$8/12+$F$8*$Q$8/12+$G$8*$Q$8/12+$H$8*$Q$8/12+$I$8*$Q$8/12+$J$8*$Q$8/12</f>
        <v>0</v>
      </c>
      <c r="K47" s="53">
        <f>$D$8*$Q$8/12+$E$8*$Q$8/12+$F$8*$Q$8/12+$G$8*$Q$8/12+$H$8*$Q$8/12+$I$8*$Q$8/12+$J$8*$Q$8/12+$K$8*$Q$8/12</f>
        <v>0</v>
      </c>
      <c r="L47" s="53">
        <f>$D$8*$Q$8/12+$E$8*$Q$8/12+$F$8*$Q$8/12+$G$8*$Q$8/12+$H$8*$Q$8/12+$I$8*$Q$8/12+$J$8*$Q$8/12+$K$8*$Q$8/12+$L$8*$Q$8/12</f>
        <v>0</v>
      </c>
      <c r="M47" s="53">
        <f>$D$8*$Q$8/12+$E$8*$Q$8/12+$F$8*$Q$8/12+$G$8*$Q$8/12+$H$8*$Q$8/12+$I$8*$Q$8/12+$J$8*$Q$8/12+$K$8*$Q$8/12+$L$8*$Q$8/12+$M$8*$Q$8/12</f>
        <v>0</v>
      </c>
      <c r="N47" s="53">
        <f>$D$8*$Q$8/12+$E$8*$Q$8/12+$F$8*$Q$8/12+$G$8*$Q$8/12+$H$8*$Q$8/12+$I$8*$Q$8/12+$J$8*$Q$8/12+$K$8*$Q$8/12+$L$8*$Q$8/12+$M$8*$Q$8/12+$N$8*$Q$8/12</f>
        <v>0</v>
      </c>
      <c r="O47" s="53">
        <f>$D$8*$Q$8/12+$E$8*$Q$8/12+$F$8*$Q$8/12+$G$8*$Q$8/12+$H$8*$Q$8/12+$I$8*$Q$8/12+$J$8*$Q$8/12+$K$8*$Q$8/12+$L$8*$Q$8/12+$M$8*$Q$8/12+$N$8*$Q$8/12+$O$8*$Q$8/12</f>
        <v>0</v>
      </c>
      <c r="P47" s="54">
        <f>SUM(D47:O47)</f>
        <v>0</v>
      </c>
      <c r="Q47" s="37">
        <f>P8-P47</f>
        <v>0</v>
      </c>
    </row>
    <row r="48" spans="1:18" hidden="1" x14ac:dyDescent="0.3">
      <c r="A48" s="2" t="str">
        <f>A9</f>
        <v>Patentes y marcas</v>
      </c>
      <c r="B48" s="2"/>
      <c r="C48" s="2"/>
      <c r="D48" s="53">
        <f>$D$9*$Q$9/12</f>
        <v>0</v>
      </c>
      <c r="E48" s="53">
        <f>$D$9*$Q$9/12+$E$9*$Q$9/12</f>
        <v>0</v>
      </c>
      <c r="F48" s="53">
        <f>$D$9*$Q$9/12+$E$9*$Q$9/12+$F$9*$Q$9/12</f>
        <v>0</v>
      </c>
      <c r="G48" s="53">
        <f>$D$9*$Q$9/12+$E$9*$Q$9/12+$F$9*$Q$9/12+$G$9*$Q$9/12</f>
        <v>0</v>
      </c>
      <c r="H48" s="53">
        <f>$D$9*$Q$9/12+$E$9*$Q$9/12+$F$9*$Q$9/12+$G$9*$Q$9/12+$H$9*$Q$9/12</f>
        <v>0</v>
      </c>
      <c r="I48" s="53">
        <f>$D$9*$Q$9/12+$E$9*$Q$9/12+$F$9*$Q$9/12+$G$9*$Q$9/12+$H$9*$Q$9/12+$I$9*$Q$9/12</f>
        <v>0</v>
      </c>
      <c r="J48" s="53">
        <f>$D$9*$Q$9/12+$E$9*$Q$9/12+$F$9*$Q$9/12+$G$9*$Q$9/12+$H$9*$Q$9/12+$I$9*$Q$9/12+$J$9*$Q$9/12</f>
        <v>0</v>
      </c>
      <c r="K48" s="53">
        <f>$D$9*$Q$9/12+$E$9*$Q$9/12+$F$9*$Q$9/12+$G$9*$Q$9/12+$H$9*$Q$9/12+$I$9*$Q$9/12+$J$9*$Q$9/12+$K$9*$Q$9/12</f>
        <v>0</v>
      </c>
      <c r="L48" s="53">
        <f>$D$9*$Q$9/12+$E$9*$Q$9/12+$F$9*$Q$9/12+$G$9*$Q$9/12+$H$9*$Q$9/12+$I$9*$Q$9/12+$J$9*$Q$9/12+$K$9*$Q$9/12+$L$9*$Q$9/12</f>
        <v>0</v>
      </c>
      <c r="M48" s="53">
        <f>$D$9*$Q$9/12+$E$9*$Q$9/12+$F$9*$Q$9/12+$G$9*$Q$9/12+$H$9*$Q$9/12+$I$9*$Q$9/12+$J$9*$Q$9/12+$K$9*$Q$9/12+$L$9*$Q$9/12+$M$9*$Q$9/12</f>
        <v>0</v>
      </c>
      <c r="N48" s="53">
        <f>$D$9*$Q$9/12+$E$9*$Q$9/12+$F$9*$Q$9/12+$G$9*$Q$9/12+$H$9*$Q$9/12+$I$9*$Q$9/12+$J$9*$Q$9/12+$K$9*$Q$9/12+$L$9*$Q$9/12+$M$9*$Q$9/12+$N$9*$Q$9/12</f>
        <v>0</v>
      </c>
      <c r="O48" s="53">
        <f>$D$9*$Q$9/12+$E$9*$Q$9/12+$F$9*$Q$9/12+$G$9*$Q$9/12+$H$9*$Q$9/12+$I$9*$Q$9/12+$J$9*$Q$9/12+$K$9*$Q$9/12+$L$9*$Q$9/12+$M$9*$Q$9/12+$N$9*$Q$9/12+$O$9*$Q$9/12</f>
        <v>0</v>
      </c>
      <c r="P48" s="54">
        <f t="shared" ref="P48:P59" si="17">SUM(D48:O48)</f>
        <v>0</v>
      </c>
      <c r="Q48" s="37">
        <f>P9-P48</f>
        <v>600</v>
      </c>
    </row>
    <row r="49" spans="1:18" hidden="1" x14ac:dyDescent="0.3">
      <c r="A49" s="2" t="str">
        <f>A10</f>
        <v>Aplicaciones informáticas</v>
      </c>
      <c r="B49" s="2"/>
      <c r="C49" s="2"/>
      <c r="D49" s="53">
        <f>D10*Q10/12</f>
        <v>0.35749999999999998</v>
      </c>
      <c r="E49" s="53">
        <f>$D$10*$Q$10/12+$E$10*$Q$10/12</f>
        <v>0.35749999999999998</v>
      </c>
      <c r="F49" s="53">
        <f>$D$10*$Q$10/12+$E$10*$Q$10/12+$F$10*$Q$10/12</f>
        <v>7.2324999999999999</v>
      </c>
      <c r="G49" s="53">
        <f>$D$10*$Q$10/12+$E$10*$Q$10/12+$F$10*$Q$10/12+$G$10*$Q$10/12</f>
        <v>7.2324999999999999</v>
      </c>
      <c r="H49" s="53">
        <f>$D$10*$Q$10/12+$E$10*$Q$10/12+$F$10*$Q$10/12+$G$10*$Q$10/12+$H$10*$Q$10/12</f>
        <v>7.2324999999999999</v>
      </c>
      <c r="I49" s="53">
        <f>$D$10*$Q$10/12+$E$10*$Q$10/12+$F$10*$Q$10/12+$G$10*$Q$10/12+$H$10*$Q$10/12+$I$10*$Q$10/12</f>
        <v>15.4825</v>
      </c>
      <c r="J49" s="53">
        <f>$D$10*$Q$10/12+$E$10*$Q$10/12+$F$10*$Q$10/12+$G$10*$Q$10/12+$H$10*$Q$10/12+$I$10*$Q$10/12+$J$10*$Q$10/12</f>
        <v>15.4825</v>
      </c>
      <c r="K49" s="53">
        <f>$D$10*$Q$10/12+$E$10*$Q$10/12+$F$10*$Q$10/12+$G$10*$Q$10/12+$H$10*$Q$10/12+$I$10*$Q$10/12+$J$10*$Q$10/12+$K$10*$Q$10/12</f>
        <v>15.4825</v>
      </c>
      <c r="L49" s="53">
        <f>$D$10*$Q$10/12+$E$10*$Q$10/12+$F$10*$Q$10/12+$G$10*$Q$10/12+$H$10*$Q$10/12+$I$10*$Q$10/12+$J$10*$Q$10/12+$K$10*$Q$10/12+$L$10*$Q$10/12</f>
        <v>15.4825</v>
      </c>
      <c r="M49" s="53">
        <f>$D$10*$Q$10/12+$E$10*$Q$10/12+$F$10*$Q$10/12+$G$10*$Q$10/12+$H$10*$Q$10/12+$I$10*$Q$10/12+$J$10*$Q$10/12+$K$10*$Q$10/12+$L$10*$Q$10/12+$M$10*$Q$10/12</f>
        <v>15.4825</v>
      </c>
      <c r="N49" s="53">
        <f>$D$10*$Q$10/12+$E$10*$Q$10/12+$F$10*$Q$10/12+$G$10*$Q$10/12+$H$10*$Q$10/12+$I$10*$Q$10/12+$J$10*$Q$10/12+$K$10*$Q$10/12+$L$10*$Q$10/12+$M$10*$Q$10/12+$N$10*$Q$10/12</f>
        <v>15.4825</v>
      </c>
      <c r="O49" s="53">
        <f>$D$10*$Q$10/12+$E$10*$Q$10/12+$F$10*$Q$10/12+$G$10*$Q$10/12+$H$10*$Q$10/12+$I$10*$Q$10/12+$J$10*$Q$10/12+$K$10*$Q$10/12+$L$10*$Q$10/12+$M$10*$Q$10/12+$N$10*$Q$10/12+$O$10*$Q$10/12</f>
        <v>15.4825</v>
      </c>
      <c r="P49" s="54">
        <f t="shared" si="17"/>
        <v>130.79</v>
      </c>
      <c r="Q49" s="37">
        <f>P10-P49</f>
        <v>432.21000000000004</v>
      </c>
    </row>
    <row r="50" spans="1:18" hidden="1" x14ac:dyDescent="0.3">
      <c r="A50" s="2" t="str">
        <f>A11</f>
        <v>Terrenos</v>
      </c>
      <c r="B50" s="2"/>
      <c r="C50" s="2"/>
      <c r="D50" s="53">
        <f>D11*Q11/12</f>
        <v>0</v>
      </c>
      <c r="E50" s="53">
        <f>$D$11*$Q$11/12+$E$11*$Q$11/12</f>
        <v>0</v>
      </c>
      <c r="F50" s="53">
        <f>$D$11*$Q$11/12+$E$11*$Q$11/12+$F$11*$Q$11/12</f>
        <v>0</v>
      </c>
      <c r="G50" s="53">
        <f>$D$11*$Q$11/12+$E$11*$Q$11/12+$F$11*$Q$11/12+$G$11*$Q$11/12</f>
        <v>0</v>
      </c>
      <c r="H50" s="53">
        <f>$D$11*$Q$11/12+$E$11*$Q$11/12+$F$11*$Q$11/12+$G$11*$Q$11/12+$H$11*$Q$11/12</f>
        <v>0</v>
      </c>
      <c r="I50" s="53">
        <f>$D$11*$Q$11/12+$E$11*$Q$11/12+$F$11*$Q$11/12+$G$11*$Q$11/12+$H$11*$Q$11/12+$I$11*$Q$11/12</f>
        <v>0</v>
      </c>
      <c r="J50" s="53">
        <f>$D$11*$Q$11/12+$E$11*$Q$11/12+$F$11*$Q$11/12+$G$11*$Q$11/12+$H$11*$Q$11/12+$I$11*$Q$11/12+$J$11*$Q$11/12</f>
        <v>0</v>
      </c>
      <c r="K50" s="53">
        <f>$D$11*$Q$11/12+$E$11*$Q$11/12+$F$11*$Q$11/12+$G$11*$Q$11/12+$H$11*$Q$11/12+$I$11*$Q$11/12+$J$11*$Q$11/12+$K$11*$Q$11/12</f>
        <v>0</v>
      </c>
      <c r="L50" s="53">
        <f>$D$11*$Q$11/12+$E$11*$Q$11/12+$F$11*$Q$11/12+$G$11*$Q$11/12+$H$11*$Q$11/12+$I$11*$Q$11/12+$J$11*$Q$11/12+$K$11*$Q$11/12+$L$11*$Q$11/12</f>
        <v>0</v>
      </c>
      <c r="M50" s="53">
        <f>$D$11*$Q$11/12+$E$11*$Q$11/12+$F$11*$Q$11/12+$G$11*$Q$11/12+$H$11*$Q$11/12+$I$11*$Q$11/12+$J$11*$Q$11/12+$K$11*$Q$11/12+$L$11*$Q$11/12+$M$11*$Q$11/12</f>
        <v>0</v>
      </c>
      <c r="N50" s="53">
        <f>$D$11*$Q$11/12+$E$11*$Q$11/12+$F$11*$Q$11/12+$G$11*$Q$11/12+$H$11*$Q$11/12+$I$11*$Q$11/12+$J$11*$Q$11/12+$K$11*$Q$11/12+$L$11*$Q$11/12+$M$11*$Q$11/12+$N$11*$Q$11/12</f>
        <v>0</v>
      </c>
      <c r="O50" s="53">
        <f>$D$11*$Q$11/12+$E$11*$Q$11/12+$F$11*$Q$11/12+$G$11*$Q$11/12+$H$11*$Q$11/12+$I$11*$Q$11/12+$J$11*$Q$11/12+$K$11*$Q$11/12+$L$11*$Q$11/12+$M$11*$Q$11/12+$N$11*$Q$11/12+$O$11*$Q$11/12</f>
        <v>0</v>
      </c>
      <c r="P50" s="54">
        <f t="shared" si="17"/>
        <v>0</v>
      </c>
      <c r="Q50" s="37">
        <f>P11-P50</f>
        <v>0</v>
      </c>
    </row>
    <row r="51" spans="1:18" hidden="1" x14ac:dyDescent="0.3">
      <c r="A51" s="2" t="str">
        <f>A12</f>
        <v>Construcciones</v>
      </c>
      <c r="B51" s="2"/>
      <c r="C51" s="2"/>
      <c r="D51" s="53">
        <f>D12*Q12/12</f>
        <v>0</v>
      </c>
      <c r="E51" s="53">
        <f>$D$12*$Q$12/12+$E$12*$Q$12/12</f>
        <v>0</v>
      </c>
      <c r="F51" s="53">
        <f>$D$12*$Q$12/12+$E$12*$Q$12/12+$F$12*$Q$12/12</f>
        <v>0</v>
      </c>
      <c r="G51" s="53">
        <f>$D$12*$Q$12/12+$E$12*$Q$12/12+$F$12*$Q$12/12+$G$12*$Q$12/12</f>
        <v>0</v>
      </c>
      <c r="H51" s="53">
        <f>$D$12*$Q$12/12+$E$12*$Q$12/12+$F$12*$Q$12/12+$G$12*$Q$12/12+$H$12*$Q$12/12</f>
        <v>0</v>
      </c>
      <c r="I51" s="53">
        <f>$D$12*$Q$12/12+$E$12*$Q$12/12+$F$12*$Q$12/12+$G$12*$Q$12/12+$H$12*$Q$12/12+$I$12*$Q$12/12</f>
        <v>0</v>
      </c>
      <c r="J51" s="53">
        <f>$D$12*$Q$12/12+$E$12*$Q$12/12+$F$12*$Q$12/12+$G$12*$Q$12/12+$H$12*$Q$12/12+$I$12*$Q$12/12+$J$12*$Q$12/12</f>
        <v>0</v>
      </c>
      <c r="K51" s="53">
        <f>$D$12*$Q$12/12+$E$12*$Q$12/12+$F$12*$Q$12/12+$G$12*$Q$12/12+$H$12*$Q$12/12+$I$12*$Q$12/12+$J$12*$Q$12/12+$K$12*$Q$12/12</f>
        <v>0</v>
      </c>
      <c r="L51" s="53">
        <f>$D$12*$Q$12/12+$E$12*$Q$12/12+$F$12*$Q$12/12+$G$12*$Q$12/12+$H$12*$Q$12/12+$I$12*$Q$12/12+$J$12*$Q$12/12+$K$12*$Q$12/12+$L$12*$Q$12/12</f>
        <v>0</v>
      </c>
      <c r="M51" s="53">
        <f>$D$12*$Q$12/12+$E$12*$Q$12/12+$F$12*$Q$12/12+$G$12*$Q$12/12+$H$12*$Q$12/12+$I$12*$Q$12/12+$J$12*$Q$12/12+$K$12*$Q$12/12+$L$12*$Q$12/12+$M$12*$Q$12/12</f>
        <v>0</v>
      </c>
      <c r="N51" s="53">
        <f>$D$12*$Q$12/12+$E$12*$Q$12/12+$F$12*$Q$12/12+$G$12*$Q$12/12+$H$12*$Q$12/12+$I$12*$Q$12/12+$J$12*$Q$12/12+$K$12*$Q$12/12+$L$12*$Q$12/12+$M$12*$Q$12/12+$N$12*$Q$12/12</f>
        <v>0</v>
      </c>
      <c r="O51" s="53">
        <f>$D$12*$Q$12/12+$E$12*$Q$12/12+$F$12*$Q$12/12+$G$12*$Q$12/12+$H$12*$Q$12/12+$I$12*$Q$12/12+$J$12*$Q$12/12+$K$12*$Q$12/12+$L$12*$Q$12/12+$M$12*$Q$12/12+$N$12*$Q$12/12+$O$12*$Q$12/12</f>
        <v>0</v>
      </c>
      <c r="P51" s="54">
        <f t="shared" si="17"/>
        <v>0</v>
      </c>
      <c r="Q51" s="37">
        <f>P12-P51</f>
        <v>0</v>
      </c>
    </row>
    <row r="52" spans="1:18" hidden="1" x14ac:dyDescent="0.3">
      <c r="A52" s="2" t="str">
        <f>A14</f>
        <v>Existencias iniciales</v>
      </c>
      <c r="B52" s="2"/>
      <c r="C52" s="2"/>
      <c r="D52" s="53">
        <f>D14*Q14/12</f>
        <v>0</v>
      </c>
      <c r="E52" s="53">
        <f>$D$14*$Q$14/12+$E$14*$Q$14/12</f>
        <v>0</v>
      </c>
      <c r="F52" s="53">
        <f>$D$14*$Q$14/12+$E$14*$Q$14/12+$F$14*$Q$14/12</f>
        <v>0</v>
      </c>
      <c r="G52" s="53">
        <f>$D$14*$Q$14/12+$E$14*$Q$14/12+$F$14*$Q$14/12+$G$14*$Q$14/12</f>
        <v>0</v>
      </c>
      <c r="H52" s="53">
        <f>$D$14*$Q$14/12+$E$14*$Q$14/12+$F$14*$Q$14/12+$G$14*$Q$14/12+$H$14*$Q$14/12</f>
        <v>0</v>
      </c>
      <c r="I52" s="53">
        <f>$D$14*$Q$14/12+$E$14*$Q$14/12+$F$14*$Q$14/12+$G$14*$Q$14/12+$H$14*$Q$14/12+$I$14*$Q$14/12</f>
        <v>0</v>
      </c>
      <c r="J52" s="53">
        <f>$D$14*$Q$14/12+$E$14*$Q$14/12+$F$14*$Q$14/12+$G$14*$Q$14/12+$H$14*$Q$14/12+$I$14*$Q$14/12+$J$14*$Q$14/12</f>
        <v>0</v>
      </c>
      <c r="K52" s="53">
        <f>$D$14*$Q$14/12+$E$14*$Q$14/12+$F$14*$Q$14/12+$G$14*$Q$14/12+$H$14*$Q$14/12+$I$14*$Q$14/12+$J$14*$Q$14/12+$K$14*$Q$14/12</f>
        <v>0</v>
      </c>
      <c r="L52" s="53">
        <f>$D$14*$Q$14/12+$E$14*$Q$14/12+$F$14*$Q$14/12+$G$14*$Q$14/12+$H$14*$Q$14/12+$I$14*$Q$14/12+$J$14*$Q$14/12+$K$14*$Q$14/12+$L$14*$Q$14/12</f>
        <v>0</v>
      </c>
      <c r="M52" s="53">
        <f>$D$14*$Q$14/12+$E$14*$Q$14/12+$F$14*$Q$14/12+$G$14*$Q$14/12+$H$14*$Q$14/12+$I$14*$Q$14/12+$J$14*$Q$14/12+$K$14*$Q$14/12+$L$14*$Q$14/12+$M$14*$Q$14/12</f>
        <v>0</v>
      </c>
      <c r="N52" s="53">
        <f>$D$14*$Q$14/12+$E$14*$Q$14/12+$F$14*$Q$14/12+$G$14*$Q$14/12+$H$14*$Q$14/12+$I$14*$Q$14/12+$J$14*$Q$14/12+$K$14*$Q$14/12+$L$14*$Q$14/12+$M$14*$Q$14/12+$N$14*$Q$14/12</f>
        <v>0</v>
      </c>
      <c r="O52" s="53">
        <f>$D$14*$Q$14/12+$E$14*$Q$14/12+$F$14*$Q$14/12+$G$14*$Q$14/12+$H$14*$Q$14/12+$I$14*$Q$14/12+$J$14*$Q$14/12+$K$14*$Q$14/12+$L$14*$Q$14/12+$M$14*$Q$14/12+$N$14*$Q$14/12+$O$14*$Q$14/12</f>
        <v>0</v>
      </c>
      <c r="P52" s="54">
        <f t="shared" si="17"/>
        <v>0</v>
      </c>
      <c r="Q52" s="37">
        <f>P14-P52</f>
        <v>0</v>
      </c>
    </row>
    <row r="53" spans="1:18" hidden="1" x14ac:dyDescent="0.3">
      <c r="A53" s="2" t="str">
        <f>A15</f>
        <v>Maquinaria y herramientas</v>
      </c>
      <c r="B53" s="2"/>
      <c r="C53" s="2"/>
      <c r="D53" s="53">
        <f>D15*Q15/12</f>
        <v>0</v>
      </c>
      <c r="E53" s="53">
        <f>$D$15*$Q$15/12+$E$15*$Q$15/12</f>
        <v>0</v>
      </c>
      <c r="F53" s="53">
        <f>$D$15*$Q$15/12+$E$15*$Q$15/12+$F$15*$Q$15/12</f>
        <v>0</v>
      </c>
      <c r="G53" s="53">
        <f>$D$15*$Q$15/12+$E$15*$Q$15/12+$F$15*$Q$15/12+$G$15*$Q$15/12</f>
        <v>0</v>
      </c>
      <c r="H53" s="53">
        <f>$D$15*$Q$15/12+$E$15*$Q$15/12+$F$15*$Q$15/12+$G$15*$Q$15/12+$H$15*$Q$15/12</f>
        <v>0</v>
      </c>
      <c r="I53" s="53">
        <f>$D$15*$Q$15/12+$E$15*$Q$15/12+$F$15*$Q$15/12+$G$15*$Q$15/12+$H$15*$Q$15/12+$I$15*$Q$15/12</f>
        <v>0</v>
      </c>
      <c r="J53" s="53">
        <f>$D$15*$Q$15/12+$E$15*$Q$15/12+$F$15*$Q$15/12+$G$15*$Q$15/12+$H$15*$Q$15/12+$I$15*$Q$15/12+$J$15*$Q$15/12</f>
        <v>0</v>
      </c>
      <c r="K53" s="53">
        <f>$D$15*$Q$15/12+$E$15*$Q$15/12+$F$15*$Q$15/12+$G$15*$Q$15/12+$H$15*$Q$15/12+$I$15*$Q$15/12+$J$15*$Q$15/12+$K$15*$Q$15/12</f>
        <v>0</v>
      </c>
      <c r="L53" s="53">
        <f>$D$15*$Q$15/12+$E$15*$Q$15/12+$F$15*$Q$15/12+$G$15*$Q$15/12+$H$15*$Q$15/12+$I$15*$Q$15/12+$J$15*$Q$15/12+$K$15*$Q$15/12+$L$15*$Q$15/12</f>
        <v>0</v>
      </c>
      <c r="M53" s="53">
        <f>$D$15*$Q$15/12+$E$15*$Q$15/12+$F$15*$Q$15/12+$G$15*$Q$15/12+$H$15*$Q$15/12+$I$15*$Q$15/12+$J$15*$Q$15/12+$K$15*$Q$15/12+$L$15*$Q$15/12+$M$15*$Q$15/12</f>
        <v>0</v>
      </c>
      <c r="N53" s="53">
        <f>$D$15*$Q$15/12+$E$15*$Q$15/12+$F$15*$Q$15/12+$G$15*$Q$15/12+$H$15*$Q$15/12+$I$15*$Q$15/12+$J$15*$Q$15/12+$K$15*$Q$15/12+$L$15*$Q$15/12+$M$15*$Q$15/12+$N$15*$Q$15/12</f>
        <v>0</v>
      </c>
      <c r="O53" s="53">
        <f>$D$15*$Q$15/12+$E$15*$Q$15/12+$F$15*$Q$15/12+$G$15*$Q$15/12+$H$15*$Q$15/12+$I$15*$Q$15/12+$J$15*$Q$15/12+$K$15*$Q$15/12+$L$15*$Q$15/12+$M$15*$Q$15/12+$N$15*$Q$15/12+$O$15*$Q$15/12</f>
        <v>0</v>
      </c>
      <c r="P53" s="54">
        <f t="shared" si="17"/>
        <v>0</v>
      </c>
      <c r="Q53" s="37">
        <f>P15-P53</f>
        <v>0</v>
      </c>
    </row>
    <row r="54" spans="1:18" hidden="1" x14ac:dyDescent="0.3">
      <c r="A54" s="2" t="str">
        <f>A13</f>
        <v>Instalaciones</v>
      </c>
      <c r="B54" s="2"/>
      <c r="C54" s="2"/>
      <c r="D54" s="53">
        <f>D13*Q13/12</f>
        <v>0</v>
      </c>
      <c r="E54" s="53">
        <f>$D$13*$Q$13/12+$E$13*$Q$13/12</f>
        <v>0</v>
      </c>
      <c r="F54" s="53">
        <f>$D$13*$Q$13/12+$E$13*$Q$13/12+$F$13*$Q$13/12</f>
        <v>0</v>
      </c>
      <c r="G54" s="53">
        <f>$D$13*$Q$13/12+$E$13*$Q$13/12+$F$13*$Q$13/12+$G$13*$Q$13/12</f>
        <v>0</v>
      </c>
      <c r="H54" s="53">
        <f>$D$13*$Q$13/12+$E$13*$Q$13/12+$F$13*$Q$13/12+$G$13*$Q$13/12+$H$13*$Q$13/12</f>
        <v>0</v>
      </c>
      <c r="I54" s="53">
        <f>$D$13*$Q$13/12+$E$13*$Q$13/12+$F$13*$Q$13/12+$G$13*$Q$13/12+$H$13*$Q$13/12+$I$13*$Q$13/12</f>
        <v>0</v>
      </c>
      <c r="J54" s="53">
        <f>$D$13*$Q$13/12+$E$13*$Q$13/12+$F$13*$Q$13/12+$G$13*$Q$13/12+$H$13*$Q$13/12+$I$13*$Q$13/12+$J$13*$Q$13/12</f>
        <v>0</v>
      </c>
      <c r="K54" s="53">
        <f>$D$13*$Q$13/12+$E$13*$Q$13/12+$F$13*$Q$13/12+$G$13*$Q$13/12+$H$13*$Q$13/12+$I$13*$Q$13/12+$J$13*$Q$13/12+$K$13*$Q$13/12</f>
        <v>0</v>
      </c>
      <c r="L54" s="53">
        <f>$D$13*$Q$13/12+$E$13*$Q$13/12+$F$13*$Q$13/12+$G$13*$Q$13/12+$H$13*$Q$13/12+$I$13*$Q$13/12+$J$13*$Q$13/12+$K$13*$Q$13/12+$L$13*$Q$13/12</f>
        <v>0</v>
      </c>
      <c r="M54" s="53">
        <f>$D$13*$Q$13/12+$E$13*$Q$13/12+$F$13*$Q$13/12+$G$13*$Q$13/12+$H$13*$Q$13/12+$I$13*$Q$13/12+$J$13*$Q$13/12+$K$13*$Q$13/12+$L$13*$Q$13/12+$M$13*$Q$13/12</f>
        <v>0</v>
      </c>
      <c r="N54" s="53">
        <f>$D$13*$Q$13/12+$E$13*$Q$13/12+$F$13*$Q$13/12+$G$13*$Q$13/12+$H$13*$Q$13/12+$I$13*$Q$13/12+$J$13*$Q$13/12+$K$13*$Q$13/12+$L$13*$Q$13/12+$M$13*$Q$13/12+$N$13*$Q$13/12</f>
        <v>0</v>
      </c>
      <c r="O54" s="53">
        <f>$D$13*$Q$13/12+$E$13*$Q$13/12+$F$13*$Q$13/12+$G$13*$Q$13/12+$H$13*$Q$13/12+$I$13*$Q$13/12+$J$13*$Q$13/12+$K$13*$Q$13/12+$L$13*$Q$13/12+$M$13*$Q$13/12+$N$13*$Q$13/12+$O$13*$Q$13/12</f>
        <v>0</v>
      </c>
      <c r="P54" s="54">
        <f t="shared" si="17"/>
        <v>0</v>
      </c>
      <c r="Q54" s="37">
        <f>P13-P54</f>
        <v>0</v>
      </c>
    </row>
    <row r="55" spans="1:18" hidden="1" x14ac:dyDescent="0.3">
      <c r="A55" s="2" t="str">
        <f>A16</f>
        <v>Mobiliario</v>
      </c>
      <c r="B55" s="2"/>
      <c r="C55" s="2"/>
      <c r="D55" s="53">
        <f>D16*Q16/12</f>
        <v>4.916666666666667</v>
      </c>
      <c r="E55" s="53">
        <f>$D$16*$Q$16/12+$E$16*$Q$16/12</f>
        <v>9.25</v>
      </c>
      <c r="F55" s="53">
        <f>$D$16*$Q$16/12+$E$16*$Q$16/12+$F$16*$Q$16/12</f>
        <v>10.916666666666666</v>
      </c>
      <c r="G55" s="53">
        <f>$D$16*$Q$16/12+$E$16*$Q$16/12+$F$16*$Q$16/12+$G$16*$Q$16/12</f>
        <v>13.416666666666666</v>
      </c>
      <c r="H55" s="53">
        <f>$D$16*$Q$16/12+$E$16*$Q$16/12+$F$16*$Q$16/12+$G$16*$Q$16/12+$H$16*$Q$16/12</f>
        <v>17.583333333333332</v>
      </c>
      <c r="I55" s="53">
        <f>$D$16*$Q$16/12+$E$16*$Q$16/12+$F$16*$Q$16/12+$G$16*$Q$16/12+$H$16*$Q$16/12+$I$16*$Q$16/12</f>
        <v>22.583333333333332</v>
      </c>
      <c r="J55" s="53">
        <f>$D$16*$Q$16/12+$E$16*$Q$16/12+$F$16*$Q$16/12+$G$16*$Q$16/12+$H$16*$Q$16/12+$I$16*$Q$16/12+$J$16*$Q$16/12</f>
        <v>26.75</v>
      </c>
      <c r="K55" s="53">
        <f>$D$16*$Q$16/12+$E$16*$Q$16/12+$F$16*$Q$16/12+$G$16*$Q$16/12+$H$16*$Q$16/12+$I$16*$Q$16/12+$J$16*$Q$16/12+$K$16*$Q$16/12</f>
        <v>27.583333333333332</v>
      </c>
      <c r="L55" s="53">
        <f>$D$16*$Q$16/12+$E$16*$Q$16/12+$F$16*$Q$16/12+$G$16*$Q$16/12+$H$16*$Q$16/12+$I$16*$Q$16/12+$J$16*$Q$16/12+$K$16*$Q$16/12+$L$16*$Q$16/12</f>
        <v>30.083333333333332</v>
      </c>
      <c r="M55" s="53">
        <f>$D$16*$Q$16/12+$E$16*$Q$16/12+$F$16*$Q$16/12+$G$16*$Q$16/12+$H$16*$Q$16/12+$I$16*$Q$16/12+$J$16*$Q$16/12+$K$16*$Q$16/12+$L$16*$Q$16/12+$M$16*$Q$16/12</f>
        <v>35.916666666666664</v>
      </c>
      <c r="N55" s="53">
        <f>$D$16*$Q$16/12+$E$16*$Q$16/12+$F$16*$Q$16/12+$G$16*$Q$16/12+$H$16*$Q$16/12+$I$16*$Q$16/12+$J$16*$Q$16/12+$K$16*$Q$16/12+$L$16*$Q$16/12+$M$16*$Q$16/12+$N$16*$Q$16/12</f>
        <v>37.583333333333329</v>
      </c>
      <c r="O55" s="53">
        <f>$D$16*$Q$16/12+$E$16*$Q$16/12+$F$16*$Q$16/12+$G$16*$Q$16/12+$H$16*$Q$16/12+$I$16*$Q$16/12+$J$16*$Q$16/12+$K$16*$Q$16/12+$L$16*$Q$16/12+$M$16*$Q$16/12+$N$16*$Q$16/12+$O$16*$Q$16/12</f>
        <v>45.916666666666664</v>
      </c>
      <c r="P55" s="54">
        <f t="shared" si="17"/>
        <v>282.5</v>
      </c>
      <c r="Q55" s="37">
        <f>P16-P55</f>
        <v>5227.5</v>
      </c>
    </row>
    <row r="56" spans="1:18" hidden="1" x14ac:dyDescent="0.3">
      <c r="A56" s="2" t="str">
        <f>A17</f>
        <v>Equipos informáticos</v>
      </c>
      <c r="B56" s="2"/>
      <c r="C56" s="2"/>
      <c r="D56" s="53">
        <f>D17*Q17/12</f>
        <v>30.434166666666666</v>
      </c>
      <c r="E56" s="53">
        <f>$D$17*$Q$17/12+$E$17*$Q$17/12</f>
        <v>30.434166666666666</v>
      </c>
      <c r="F56" s="53">
        <f>$D$17*$Q$17/12+$E$17*$Q$17/12+$F$17*$Q$17/12</f>
        <v>30.434166666666666</v>
      </c>
      <c r="G56" s="53">
        <f>$D$17*$Q$17/12+$E$17*$Q$17/12+$F$17*$Q$17/12+$G$17*$Q$17/12</f>
        <v>30.434166666666666</v>
      </c>
      <c r="H56" s="53">
        <f>$D$17*$Q$17/12+$E$17*$Q$17/12+$F$17*$Q$17/12+$G$17*$Q$17/12+$H$17*$Q$17/12</f>
        <v>30.434166666666666</v>
      </c>
      <c r="I56" s="53">
        <f>$D$17*$Q$17/12+$E$17*$Q$17/12+$F$17*$Q$17/12+$G$17*$Q$17/12+$H$17*$Q$17/12+$I$17*$Q$17/12</f>
        <v>30.434166666666666</v>
      </c>
      <c r="J56" s="53">
        <f>$D$17*$Q$17/12+$E$17*$Q$17/12+$F$17*$Q$17/12+$G$17*$Q$17/12+$H$17*$Q$17/12+$I$17*$Q$17/12+$J$17*$Q$17/12</f>
        <v>30.434166666666666</v>
      </c>
      <c r="K56" s="53">
        <f>$D$17*$Q$17/12+$E$17*$Q$17/12+$F$17*$Q$17/12+$G$17*$Q$17/12+$H$17*$Q$17/12+$I$17*$Q$17/12+$J$17*$Q$17/12+$K$17*$Q$17/12</f>
        <v>30.434166666666666</v>
      </c>
      <c r="L56" s="53">
        <f>$D$17*$Q$17/12+$E$17*$Q$17/12+$F$17*$Q$17/12+$G$17*$Q$17/12+$H$17*$Q$17/12+$I$17*$Q$17/12+$J$17*$Q$17/12+$K$17*$Q$17/12+$L$17*$Q$17/12</f>
        <v>30.434166666666666</v>
      </c>
      <c r="M56" s="53">
        <f>$D$17*$Q$17/12+$E$17*$Q$17/12+$F$17*$Q$17/12+$G$17*$Q$17/12+$H$17*$Q$17/12+$I$17*$Q$17/12+$J$17*$Q$17/12+$K$17*$Q$17/12+$L$17*$Q$17/12+$M$17*$Q$17/12</f>
        <v>30.434166666666666</v>
      </c>
      <c r="N56" s="53">
        <f>$D$17*$Q$17/12+$E$17*$Q$17/12+$F$17*$Q$17/12+$G$17*$Q$17/12+$H$17*$Q$17/12+$I$17*$Q$17/12+$J$17*$Q$17/12+$K$17*$Q$17/12+$L$17*$Q$17/12+$M$17*$Q$17/12+$N$17*$Q$17/12</f>
        <v>30.434166666666666</v>
      </c>
      <c r="O56" s="53">
        <f>$D$17*$Q$17/12+$E$17*$Q$17/12+$F$17*$Q$17/12+$G$17*$Q$17/12+$H$17*$Q$17/12+$I$17*$Q$17/12+$J$17*$Q$17/12+$K$17*$Q$17/12+$L$17*$Q$17/12+$M$17*$Q$17/12+$N$17*$Q$17/12+$O$17*$Q$17/12</f>
        <v>30.434166666666666</v>
      </c>
      <c r="P56" s="54">
        <f t="shared" si="17"/>
        <v>365.21</v>
      </c>
      <c r="Q56" s="37">
        <f>P17-P56</f>
        <v>1095.6299999999999</v>
      </c>
    </row>
    <row r="57" spans="1:18" hidden="1" x14ac:dyDescent="0.3">
      <c r="A57" s="2" t="str">
        <f>A19</f>
        <v>Tesoreria incial</v>
      </c>
      <c r="B57" s="2"/>
      <c r="C57" s="2"/>
      <c r="D57" s="53">
        <f>D19*Q19/12</f>
        <v>0</v>
      </c>
      <c r="E57" s="53">
        <f>$D$19*$Q$19/12+$E$19*$Q$19/12</f>
        <v>0</v>
      </c>
      <c r="F57" s="53">
        <f>$D$19*$Q$19/12+$E$19*$Q$19/12+$F$19*$Q$19/12</f>
        <v>0</v>
      </c>
      <c r="G57" s="53">
        <f>$D$19*$Q$19/12+$E$19*$Q$19/12+$F$19*$Q$19/12+$G$19*$Q$19/12</f>
        <v>0</v>
      </c>
      <c r="H57" s="53">
        <f>$D$19*$Q$19/12+$E$19*$Q$19/12+$F$19*$Q$19/12+$G$19*$Q$19/12+$H$19*$Q$19/12</f>
        <v>0</v>
      </c>
      <c r="I57" s="53">
        <f>$D$19*$Q$19/12+$E$19*$Q$19/12+$F$19*$Q$19/12+$G$19*$Q$19/12+$H$19*$Q$19/12+$I$19*$Q$19/12</f>
        <v>0</v>
      </c>
      <c r="J57" s="53">
        <f>$D$19*$Q$19/12+$E$19*$Q$19/12+$F$19*$Q$19/12+$G$19*$Q$19/12+$H$19*$Q$19/12+$I$19*$Q$19/12+$J$19*$Q$19/12</f>
        <v>0</v>
      </c>
      <c r="K57" s="53">
        <f>$D$19*$Q$19/12+$E$19*$Q$19/12+$F$19*$Q$19/12+$G$19*$Q$19/12+$H$19*$Q$19/12+$I$19*$Q$19/12+$J$19*$Q$19/12+$K$19*$Q$19/12</f>
        <v>0</v>
      </c>
      <c r="L57" s="53">
        <f>$D$19*$Q$19/12+$E$19*$Q$19/12+$F$19*$Q$19/12+$G$19*$Q$19/12+$H$19*$Q$19/12+$I$19*$Q$19/12+$J$19*$Q$19/12+$K$19*$Q$19/12+$L$19*$Q$19/12</f>
        <v>0</v>
      </c>
      <c r="M57" s="53">
        <f>$D$19*$Q$19/12+$E$19*$Q$19/12+$F$19*$Q$19/12+$G$19*$Q$19/12+$H$19*$Q$19/12+$I$19*$Q$19/12+$J$19*$Q$19/12+$K$19*$Q$19/12+$L$19*$Q$19/12+$M$19*$Q$19/12</f>
        <v>0</v>
      </c>
      <c r="N57" s="53">
        <f>$D$19*$Q$19/12+$E$19*$Q$19/12+$F$19*$Q$19/12+$G$19*$Q$19/12+$H$19*$Q$19/12+$I$19*$Q$19/12+$J$19*$Q$19/12+$K$19*$Q$19/12+$L$19*$Q$19/12+$M$19*$Q$19/12+$N$19*$Q$19/12</f>
        <v>0</v>
      </c>
      <c r="O57" s="53">
        <f>$D$19*$Q$19/12+$E$19*$Q$19/12+$F$19*$Q$19/12+$G$19*$Q$19/12+$H$19*$Q$19/12+$I$19*$Q$19/12+$J$19*$Q$19/12+$K$19*$Q$19/12+$L$19*$Q$19/12+$M$19*$Q$19/12+$N$19*$Q$19/12+$O$19*$Q$19/12</f>
        <v>0</v>
      </c>
      <c r="P57" s="54">
        <f t="shared" si="17"/>
        <v>0</v>
      </c>
      <c r="Q57" s="37">
        <f>P19-P57</f>
        <v>0</v>
      </c>
    </row>
    <row r="58" spans="1:18" hidden="1" x14ac:dyDescent="0.3">
      <c r="A58" s="2" t="str">
        <f>A18</f>
        <v xml:space="preserve">Vehículos de transporte </v>
      </c>
      <c r="B58" s="2"/>
      <c r="C58" s="2"/>
      <c r="D58" s="53">
        <f>D18*Q18/12</f>
        <v>0</v>
      </c>
      <c r="E58" s="53">
        <f>$D$18*$Q$18/12+$E$18*$Q$18/12</f>
        <v>0</v>
      </c>
      <c r="F58" s="53">
        <f>$D$18*$Q$18/12+$E$18*$Q$18/12+$F$18*$Q$18/12</f>
        <v>0</v>
      </c>
      <c r="G58" s="53">
        <f>$D$18*$Q$18/12+$E$18*$Q$18/12+$F$18*$Q$18/12+$G$18*$Q$18/12</f>
        <v>0</v>
      </c>
      <c r="H58" s="53">
        <f>$D$18*$Q$18/12+$E$18*$Q$18/12+$F$18*$Q$18/12+$G$18*$Q$18/12+$H$18*$Q$18/12</f>
        <v>0</v>
      </c>
      <c r="I58" s="53">
        <f>$D$18*$Q$18/12+$E$18*$Q$18/12+$F$18*$Q$18/12+$G$18*$Q$18/12+$H$18*$Q$18/12+$I$18*$Q$18/12</f>
        <v>0</v>
      </c>
      <c r="J58" s="53">
        <f>$D$18*$Q$18/12+$E$18*$Q$18/12+$F$18*$Q$18/12+$G$18*$Q$18/12+$H$18*$Q$18/12+$I$18*$Q$18/12+$J$18*$Q$18/12</f>
        <v>0</v>
      </c>
      <c r="K58" s="53">
        <f>$D$18*$Q$18/12+$E$18*$Q$18/12+$F$18*$Q$18/12+$G$18*$Q$18/12+$H$18*$Q$18/12+$I$18*$Q$18/12+$J$18*$Q$18/12+$K$18*$Q$18/12</f>
        <v>0</v>
      </c>
      <c r="L58" s="53">
        <f>$D$18*$Q$18/12+$E$18*$Q$18/12+$F$18*$Q$18/12+$G$18*$Q$18/12+$H$18*$Q$18/12+$I$18*$Q$18/12+$J$18*$Q$18/12+$K$18*$Q$18/12+$L$18*$Q$18/12</f>
        <v>0</v>
      </c>
      <c r="M58" s="53">
        <f>$D$18*$Q$18/12+$E$18*$Q$18/12+$F$18*$Q$18/12+$G$18*$Q$18/12+$H$18*$Q$18/12+$I$18*$Q$18/12+$J$18*$Q$18/12+$K$18*$Q$18/12+$L$18*$Q$18/12+$M$18*$Q$18/12</f>
        <v>0</v>
      </c>
      <c r="N58" s="53">
        <f>$D$18*$Q$18/12+$E$18*$Q$18/12+$F$18*$Q$18/12+$G$18*$Q$18/12+$H$18*$Q$18/12+$I$18*$Q$18/12+$J$18*$Q$18/12+$K$18*$Q$18/12+$L$18*$Q$18/12+$M$18*$Q$18/12+$N$18*$Q$18/12</f>
        <v>0</v>
      </c>
      <c r="O58" s="53">
        <f>$D$18*$Q$18/12+$E$18*$Q$18/12+$F$18*$Q$18/12+$G$18*$Q$18/12+$H$18*$Q$18/12+$I$18*$Q$18/12+$J$18*$Q$18/12+$K$18*$Q$18/12+$L$18*$Q$18/12+$M$18*$Q$18/12+$N$18*$Q$18/12+$O$18*$Q$18/12</f>
        <v>0</v>
      </c>
      <c r="P58" s="54">
        <f t="shared" si="17"/>
        <v>0</v>
      </c>
      <c r="Q58" s="37">
        <f>P18-P58</f>
        <v>0</v>
      </c>
    </row>
    <row r="59" spans="1:18" hidden="1" x14ac:dyDescent="0.3">
      <c r="A59" s="2" t="str">
        <f>A20</f>
        <v>Otros Equipos</v>
      </c>
      <c r="B59" s="2"/>
      <c r="C59" s="2"/>
      <c r="D59" s="53">
        <f>D20*Q20/12</f>
        <v>0</v>
      </c>
      <c r="E59" s="53">
        <f>$D$20*$Q$20/12+$E$20*$Q$20/12</f>
        <v>0</v>
      </c>
      <c r="F59" s="53">
        <f>$D$20*$Q$20/12+$E$20*$Q$20/12+$F$20*$Q$20/12</f>
        <v>0</v>
      </c>
      <c r="G59" s="53">
        <f>$D$20*$Q$20/12+$E$20*$Q$20/12+$F$20*$Q$20/12+$G$20*$Q$20/12</f>
        <v>0</v>
      </c>
      <c r="H59" s="53">
        <f>$D$20*$Q$20/12+$E$20*$Q$20/12+$F$20*$Q$20/12+$G$20*$Q$20/12+$H$20*$Q$20/12</f>
        <v>0</v>
      </c>
      <c r="I59" s="53">
        <f>$D$20*$Q$20/12+$E$20*$Q$20/12+$F$20*$Q$20/12+$G$20*$Q$20/12+$H$20*$Q$20/12+$I$20*$Q$20/12</f>
        <v>0</v>
      </c>
      <c r="J59" s="53">
        <f>$D$20*$Q$20/12+$E$20*$Q$20/12+$F$20*$Q$20/12+$G$20*$Q$20/12+$H$20*$Q$20/12+$I$20*$Q$20/12+$J$20*$Q$20/12</f>
        <v>0</v>
      </c>
      <c r="K59" s="53">
        <f>$D$20*$Q$20/12+$E$20*$Q$20/12+$F$20*$Q$20/12+$G$20*$Q$20/12+$H$20*$Q$20/12+$I$20*$Q$20/12+$J$20*$Q$20/12+$K$20*$Q$20/12</f>
        <v>0</v>
      </c>
      <c r="L59" s="53">
        <f>$D$20*$Q$20/12+$E$20*$Q$20/12+$F$20*$Q$20/12+$G$20*$Q$20/12+$H$20*$Q$20/12+$I$20*$Q$20/12+$J$20*$Q$20/12+$K$20*$Q$20/12+$L$20*$Q$20/12</f>
        <v>0</v>
      </c>
      <c r="M59" s="53">
        <f>$D$20*$Q$20/12+$E$20*$Q$20/12+$F$20*$Q$20/12+$G$20*$Q$20/12+$H$20*$Q$20/12+$I$20*$Q$20/12+$J$20*$Q$20/12+$K$20*$Q$20/12+$L$20*$Q$20/12+$M$20*$Q$20/12</f>
        <v>0</v>
      </c>
      <c r="N59" s="53">
        <f>$D$20*$Q$20/12+$E$20*$Q$20/12+$F$20*$Q$20/12+$G$20*$Q$20/12+$H$20*$Q$20/12+$I$20*$Q$20/12+$J$20*$Q$20/12+$K$20*$Q$20/12+$L$20*$Q$20/12+$M$20*$Q$20/12+$N$20*$Q$20/12</f>
        <v>0</v>
      </c>
      <c r="O59" s="53">
        <f>$D$20*$Q$20/12+$E$20*$Q$20/12+$F$20*$Q$20/12+$G$20*$Q$20/12+$H$20*$Q$20/12+$I$20*$Q$20/12+$J$20*$Q$20/12+$K$20*$Q$20/12+$L$20*$Q$20/12+$M$20*$Q$20/12+$N$20*$Q$20/12+$O$20*$Q$20/12</f>
        <v>0</v>
      </c>
      <c r="P59" s="54">
        <f t="shared" si="17"/>
        <v>0</v>
      </c>
      <c r="Q59" s="37">
        <f>P20-P59</f>
        <v>0</v>
      </c>
    </row>
    <row r="60" spans="1:18" ht="15" hidden="1" thickBot="1" x14ac:dyDescent="0.35">
      <c r="A60" s="18"/>
      <c r="B60" s="18"/>
      <c r="C60" s="18"/>
      <c r="D60" s="33">
        <f t="shared" ref="D60:O60" si="18">SUM(D47:D59)</f>
        <v>35.708333333333336</v>
      </c>
      <c r="E60" s="33">
        <f t="shared" si="18"/>
        <v>40.041666666666664</v>
      </c>
      <c r="F60" s="33">
        <f t="shared" si="18"/>
        <v>48.583333333333329</v>
      </c>
      <c r="G60" s="33">
        <f t="shared" si="18"/>
        <v>51.083333333333329</v>
      </c>
      <c r="H60" s="33">
        <f t="shared" si="18"/>
        <v>55.25</v>
      </c>
      <c r="I60" s="33">
        <f t="shared" si="18"/>
        <v>68.5</v>
      </c>
      <c r="J60" s="33">
        <f t="shared" si="18"/>
        <v>72.666666666666671</v>
      </c>
      <c r="K60" s="33">
        <f t="shared" si="18"/>
        <v>73.5</v>
      </c>
      <c r="L60" s="33">
        <f t="shared" si="18"/>
        <v>76</v>
      </c>
      <c r="M60" s="33">
        <f t="shared" si="18"/>
        <v>81.833333333333329</v>
      </c>
      <c r="N60" s="33">
        <f t="shared" si="18"/>
        <v>83.5</v>
      </c>
      <c r="O60" s="33">
        <f t="shared" si="18"/>
        <v>91.833333333333329</v>
      </c>
      <c r="P60" s="40">
        <f>SUM(D60:O60)</f>
        <v>778.5</v>
      </c>
      <c r="Q60" s="33">
        <f>SUM(E60:P60)</f>
        <v>1521.2916666666667</v>
      </c>
      <c r="R60" s="32"/>
    </row>
    <row r="61" spans="1:18" hidden="1" x14ac:dyDescent="0.3"/>
  </sheetData>
  <pageMargins left="0.7" right="0.7" top="0.75" bottom="0.75" header="0.3" footer="0.3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P26"/>
  <sheetViews>
    <sheetView showGridLines="0" workbookViewId="0">
      <selection activeCell="D21" sqref="D21"/>
    </sheetView>
  </sheetViews>
  <sheetFormatPr baseColWidth="10" defaultRowHeight="14.4" x14ac:dyDescent="0.3"/>
  <cols>
    <col min="1" max="1" width="2.6640625" customWidth="1"/>
    <col min="2" max="2" width="26.44140625" customWidth="1"/>
    <col min="3" max="3" width="14.88671875" customWidth="1"/>
    <col min="4" max="15" width="11.5546875" customWidth="1"/>
    <col min="16" max="16" width="15.88671875" customWidth="1"/>
  </cols>
  <sheetData>
    <row r="5" spans="1:16" x14ac:dyDescent="0.3">
      <c r="C5" s="3" t="s">
        <v>117</v>
      </c>
    </row>
    <row r="7" spans="1:16" x14ac:dyDescent="0.3">
      <c r="A7" s="18"/>
      <c r="B7" s="18" t="s">
        <v>101</v>
      </c>
      <c r="C7" s="19" t="s">
        <v>13</v>
      </c>
      <c r="D7" s="19" t="s">
        <v>0</v>
      </c>
      <c r="E7" s="19" t="s">
        <v>1</v>
      </c>
      <c r="F7" s="19" t="s">
        <v>2</v>
      </c>
      <c r="G7" s="19" t="s">
        <v>3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  <c r="O7" s="19" t="s">
        <v>11</v>
      </c>
      <c r="P7" s="19" t="s">
        <v>16</v>
      </c>
    </row>
    <row r="8" spans="1:16" x14ac:dyDescent="0.3">
      <c r="A8" s="5"/>
      <c r="B8" s="34" t="s">
        <v>102</v>
      </c>
      <c r="C8" s="56">
        <v>0.21</v>
      </c>
      <c r="D8" s="16">
        <f t="shared" ref="D8:O8" si="0">D21*$C$21</f>
        <v>300</v>
      </c>
      <c r="E8" s="16">
        <f t="shared" si="0"/>
        <v>300</v>
      </c>
      <c r="F8" s="16">
        <f t="shared" si="0"/>
        <v>300</v>
      </c>
      <c r="G8" s="16">
        <f t="shared" si="0"/>
        <v>300</v>
      </c>
      <c r="H8" s="16">
        <f t="shared" si="0"/>
        <v>300</v>
      </c>
      <c r="I8" s="16">
        <f t="shared" si="0"/>
        <v>300</v>
      </c>
      <c r="J8" s="16">
        <f t="shared" si="0"/>
        <v>300</v>
      </c>
      <c r="K8" s="16">
        <f t="shared" si="0"/>
        <v>300</v>
      </c>
      <c r="L8" s="16">
        <f t="shared" si="0"/>
        <v>300</v>
      </c>
      <c r="M8" s="16">
        <f t="shared" si="0"/>
        <v>300</v>
      </c>
      <c r="N8" s="16">
        <f t="shared" si="0"/>
        <v>300</v>
      </c>
      <c r="O8" s="16">
        <f t="shared" si="0"/>
        <v>300</v>
      </c>
      <c r="P8" s="16">
        <f t="shared" ref="P8:P13" si="1">SUM(D8:O8)</f>
        <v>3600</v>
      </c>
    </row>
    <row r="9" spans="1:16" x14ac:dyDescent="0.3">
      <c r="A9" s="5"/>
      <c r="B9" s="34" t="s">
        <v>103</v>
      </c>
      <c r="C9" s="56">
        <v>0.21</v>
      </c>
      <c r="D9" s="16">
        <f t="shared" ref="D9:O9" si="2">D22*$C$22</f>
        <v>375</v>
      </c>
      <c r="E9" s="16">
        <f t="shared" si="2"/>
        <v>375</v>
      </c>
      <c r="F9" s="16">
        <f t="shared" si="2"/>
        <v>375</v>
      </c>
      <c r="G9" s="16">
        <f t="shared" si="2"/>
        <v>375</v>
      </c>
      <c r="H9" s="16">
        <f t="shared" si="2"/>
        <v>375</v>
      </c>
      <c r="I9" s="16">
        <f t="shared" si="2"/>
        <v>375</v>
      </c>
      <c r="J9" s="16">
        <f t="shared" si="2"/>
        <v>375</v>
      </c>
      <c r="K9" s="16">
        <f t="shared" si="2"/>
        <v>375</v>
      </c>
      <c r="L9" s="16">
        <f t="shared" si="2"/>
        <v>375</v>
      </c>
      <c r="M9" s="16">
        <f t="shared" si="2"/>
        <v>375</v>
      </c>
      <c r="N9" s="16">
        <f t="shared" si="2"/>
        <v>375</v>
      </c>
      <c r="O9" s="16">
        <f t="shared" si="2"/>
        <v>375</v>
      </c>
      <c r="P9" s="16">
        <f t="shared" si="1"/>
        <v>4500</v>
      </c>
    </row>
    <row r="10" spans="1:16" x14ac:dyDescent="0.3">
      <c r="A10" s="5"/>
      <c r="B10" s="34" t="s">
        <v>104</v>
      </c>
      <c r="C10" s="56">
        <v>0.21</v>
      </c>
      <c r="D10" s="16">
        <f t="shared" ref="D10:O10" si="3">D23*$C$23</f>
        <v>112.5</v>
      </c>
      <c r="E10" s="16">
        <f t="shared" si="3"/>
        <v>112.5</v>
      </c>
      <c r="F10" s="16">
        <f t="shared" si="3"/>
        <v>112.5</v>
      </c>
      <c r="G10" s="16">
        <f t="shared" si="3"/>
        <v>112.5</v>
      </c>
      <c r="H10" s="16">
        <f t="shared" si="3"/>
        <v>112.5</v>
      </c>
      <c r="I10" s="16">
        <f t="shared" si="3"/>
        <v>112.5</v>
      </c>
      <c r="J10" s="16">
        <f t="shared" si="3"/>
        <v>112.5</v>
      </c>
      <c r="K10" s="16">
        <f t="shared" si="3"/>
        <v>112.5</v>
      </c>
      <c r="L10" s="16">
        <f t="shared" si="3"/>
        <v>112.5</v>
      </c>
      <c r="M10" s="16">
        <f t="shared" si="3"/>
        <v>112.5</v>
      </c>
      <c r="N10" s="16">
        <f t="shared" si="3"/>
        <v>112.5</v>
      </c>
      <c r="O10" s="16">
        <f t="shared" si="3"/>
        <v>112.5</v>
      </c>
      <c r="P10" s="16">
        <f t="shared" si="1"/>
        <v>1350</v>
      </c>
    </row>
    <row r="11" spans="1:16" x14ac:dyDescent="0.3">
      <c r="A11" s="5"/>
      <c r="B11" s="34" t="s">
        <v>105</v>
      </c>
      <c r="C11" s="56">
        <v>0.21</v>
      </c>
      <c r="D11" s="16">
        <f t="shared" ref="D11:O11" si="4">D24*$C$24</f>
        <v>135</v>
      </c>
      <c r="E11" s="16">
        <f t="shared" si="4"/>
        <v>135</v>
      </c>
      <c r="F11" s="16">
        <f t="shared" si="4"/>
        <v>135</v>
      </c>
      <c r="G11" s="16">
        <f t="shared" si="4"/>
        <v>135</v>
      </c>
      <c r="H11" s="16">
        <f t="shared" si="4"/>
        <v>135</v>
      </c>
      <c r="I11" s="16">
        <f t="shared" si="4"/>
        <v>135</v>
      </c>
      <c r="J11" s="16">
        <f t="shared" si="4"/>
        <v>135</v>
      </c>
      <c r="K11" s="16">
        <f t="shared" si="4"/>
        <v>135</v>
      </c>
      <c r="L11" s="16">
        <f t="shared" si="4"/>
        <v>135</v>
      </c>
      <c r="M11" s="16">
        <f t="shared" si="4"/>
        <v>135</v>
      </c>
      <c r="N11" s="16">
        <f t="shared" si="4"/>
        <v>135</v>
      </c>
      <c r="O11" s="16">
        <f t="shared" si="4"/>
        <v>135</v>
      </c>
      <c r="P11" s="16">
        <f t="shared" si="1"/>
        <v>1620</v>
      </c>
    </row>
    <row r="12" spans="1:16" x14ac:dyDescent="0.3">
      <c r="A12" s="5"/>
      <c r="B12" s="34" t="s">
        <v>106</v>
      </c>
      <c r="C12" s="56">
        <v>0.21</v>
      </c>
      <c r="D12" s="16">
        <f t="shared" ref="D12:O12" si="5">D25*$C$25</f>
        <v>750</v>
      </c>
      <c r="E12" s="16">
        <f t="shared" si="5"/>
        <v>750</v>
      </c>
      <c r="F12" s="16">
        <f t="shared" si="5"/>
        <v>750</v>
      </c>
      <c r="G12" s="16">
        <f t="shared" si="5"/>
        <v>750</v>
      </c>
      <c r="H12" s="16">
        <f t="shared" si="5"/>
        <v>750</v>
      </c>
      <c r="I12" s="16">
        <f t="shared" si="5"/>
        <v>750</v>
      </c>
      <c r="J12" s="16">
        <f t="shared" si="5"/>
        <v>750</v>
      </c>
      <c r="K12" s="16">
        <f t="shared" si="5"/>
        <v>750</v>
      </c>
      <c r="L12" s="16">
        <f t="shared" si="5"/>
        <v>750</v>
      </c>
      <c r="M12" s="16">
        <f t="shared" si="5"/>
        <v>750</v>
      </c>
      <c r="N12" s="16">
        <f t="shared" si="5"/>
        <v>750</v>
      </c>
      <c r="O12" s="16">
        <f t="shared" si="5"/>
        <v>750</v>
      </c>
      <c r="P12" s="16">
        <f t="shared" si="1"/>
        <v>9000</v>
      </c>
    </row>
    <row r="13" spans="1:16" x14ac:dyDescent="0.3">
      <c r="A13" s="26" t="s">
        <v>137</v>
      </c>
      <c r="B13" s="18"/>
      <c r="C13" s="18"/>
      <c r="D13" s="20">
        <f t="shared" ref="D13:O13" si="6">SUM(D8:D12)</f>
        <v>1672.5</v>
      </c>
      <c r="E13" s="20">
        <f t="shared" si="6"/>
        <v>1672.5</v>
      </c>
      <c r="F13" s="20">
        <f t="shared" si="6"/>
        <v>1672.5</v>
      </c>
      <c r="G13" s="20">
        <f t="shared" si="6"/>
        <v>1672.5</v>
      </c>
      <c r="H13" s="20">
        <f t="shared" si="6"/>
        <v>1672.5</v>
      </c>
      <c r="I13" s="20">
        <f t="shared" si="6"/>
        <v>1672.5</v>
      </c>
      <c r="J13" s="20">
        <f t="shared" si="6"/>
        <v>1672.5</v>
      </c>
      <c r="K13" s="20">
        <f t="shared" si="6"/>
        <v>1672.5</v>
      </c>
      <c r="L13" s="20">
        <f t="shared" si="6"/>
        <v>1672.5</v>
      </c>
      <c r="M13" s="20">
        <f t="shared" si="6"/>
        <v>1672.5</v>
      </c>
      <c r="N13" s="20">
        <f t="shared" si="6"/>
        <v>1672.5</v>
      </c>
      <c r="O13" s="20">
        <f t="shared" si="6"/>
        <v>1672.5</v>
      </c>
      <c r="P13" s="20">
        <f t="shared" si="1"/>
        <v>20070</v>
      </c>
    </row>
    <row r="14" spans="1:16" s="1" customFormat="1" x14ac:dyDescent="0.3">
      <c r="A14" s="13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5"/>
    </row>
    <row r="15" spans="1:16" s="1" customFormat="1" x14ac:dyDescent="0.3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5"/>
    </row>
    <row r="16" spans="1:16" x14ac:dyDescent="0.3">
      <c r="A16" s="21"/>
      <c r="B16" s="21" t="s">
        <v>63</v>
      </c>
      <c r="C16" s="21"/>
      <c r="D16" s="22">
        <f>(D8*(1+$C$8))+(D9*(1+$C$9))+(D10*(1+$C$10))+(D11*(1+$C$11))+(D12*(1+$C$12))</f>
        <v>2023.7249999999999</v>
      </c>
      <c r="E16" s="22">
        <f t="shared" ref="E16:P16" si="7">(E8*(1+$C$8))+(E9*(1+$C$9))+(E10*(1+$C$10))+(E11*(1+$C$11))+(E12*(1+$C$12))</f>
        <v>2023.7249999999999</v>
      </c>
      <c r="F16" s="22">
        <f t="shared" si="7"/>
        <v>2023.7249999999999</v>
      </c>
      <c r="G16" s="22">
        <f t="shared" si="7"/>
        <v>2023.7249999999999</v>
      </c>
      <c r="H16" s="22">
        <f t="shared" si="7"/>
        <v>2023.7249999999999</v>
      </c>
      <c r="I16" s="22">
        <f t="shared" si="7"/>
        <v>2023.7249999999999</v>
      </c>
      <c r="J16" s="22">
        <f t="shared" si="7"/>
        <v>2023.7249999999999</v>
      </c>
      <c r="K16" s="22">
        <f t="shared" si="7"/>
        <v>2023.7249999999999</v>
      </c>
      <c r="L16" s="22">
        <f t="shared" si="7"/>
        <v>2023.7249999999999</v>
      </c>
      <c r="M16" s="22">
        <f t="shared" si="7"/>
        <v>2023.7249999999999</v>
      </c>
      <c r="N16" s="22">
        <f t="shared" si="7"/>
        <v>2023.7249999999999</v>
      </c>
      <c r="O16" s="22">
        <f t="shared" si="7"/>
        <v>2023.7249999999999</v>
      </c>
      <c r="P16" s="22">
        <f t="shared" si="7"/>
        <v>24284.7</v>
      </c>
    </row>
    <row r="18" spans="1:16" x14ac:dyDescent="0.3">
      <c r="H18" s="12"/>
    </row>
    <row r="19" spans="1:16" x14ac:dyDescent="0.3">
      <c r="D19" s="93" t="s">
        <v>139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6" x14ac:dyDescent="0.3">
      <c r="A20" s="18"/>
      <c r="B20" s="18" t="s">
        <v>107</v>
      </c>
      <c r="C20" s="19" t="s">
        <v>56</v>
      </c>
      <c r="D20" s="19" t="s">
        <v>0</v>
      </c>
      <c r="E20" s="19" t="s">
        <v>1</v>
      </c>
      <c r="F20" s="19" t="s">
        <v>2</v>
      </c>
      <c r="G20" s="19" t="s">
        <v>3</v>
      </c>
      <c r="H20" s="19" t="s">
        <v>4</v>
      </c>
      <c r="I20" s="19" t="s">
        <v>5</v>
      </c>
      <c r="J20" s="19" t="s">
        <v>6</v>
      </c>
      <c r="K20" s="19" t="s">
        <v>7</v>
      </c>
      <c r="L20" s="19" t="s">
        <v>8</v>
      </c>
      <c r="M20" s="19" t="s">
        <v>9</v>
      </c>
      <c r="N20" s="19" t="s">
        <v>10</v>
      </c>
      <c r="O20" s="19" t="s">
        <v>11</v>
      </c>
      <c r="P20" s="19" t="s">
        <v>67</v>
      </c>
    </row>
    <row r="21" spans="1:16" x14ac:dyDescent="0.3">
      <c r="A21" s="5"/>
      <c r="B21" s="34" t="s">
        <v>102</v>
      </c>
      <c r="C21" s="57">
        <v>20</v>
      </c>
      <c r="D21" s="55">
        <v>15</v>
      </c>
      <c r="E21" s="55">
        <v>15</v>
      </c>
      <c r="F21" s="55">
        <v>15</v>
      </c>
      <c r="G21" s="55">
        <v>15</v>
      </c>
      <c r="H21" s="55">
        <v>15</v>
      </c>
      <c r="I21" s="55">
        <v>15</v>
      </c>
      <c r="J21" s="55">
        <v>15</v>
      </c>
      <c r="K21" s="55">
        <v>15</v>
      </c>
      <c r="L21" s="55">
        <v>15</v>
      </c>
      <c r="M21" s="55">
        <v>15</v>
      </c>
      <c r="N21" s="55">
        <v>15</v>
      </c>
      <c r="O21" s="55">
        <v>15</v>
      </c>
      <c r="P21" s="58">
        <f t="shared" ref="P21:P25" si="8">SUM(D21:O21)</f>
        <v>180</v>
      </c>
    </row>
    <row r="22" spans="1:16" x14ac:dyDescent="0.3">
      <c r="A22" s="5"/>
      <c r="B22" s="34" t="s">
        <v>103</v>
      </c>
      <c r="C22" s="57">
        <v>25</v>
      </c>
      <c r="D22" s="55">
        <v>15</v>
      </c>
      <c r="E22" s="55">
        <v>15</v>
      </c>
      <c r="F22" s="55">
        <v>15</v>
      </c>
      <c r="G22" s="55">
        <v>15</v>
      </c>
      <c r="H22" s="55">
        <v>15</v>
      </c>
      <c r="I22" s="55">
        <v>15</v>
      </c>
      <c r="J22" s="55">
        <v>15</v>
      </c>
      <c r="K22" s="55">
        <v>15</v>
      </c>
      <c r="L22" s="55">
        <v>15</v>
      </c>
      <c r="M22" s="55">
        <v>15</v>
      </c>
      <c r="N22" s="55">
        <v>15</v>
      </c>
      <c r="O22" s="55">
        <v>15</v>
      </c>
      <c r="P22" s="58">
        <f t="shared" si="8"/>
        <v>180</v>
      </c>
    </row>
    <row r="23" spans="1:16" x14ac:dyDescent="0.3">
      <c r="A23" s="5"/>
      <c r="B23" s="34" t="s">
        <v>104</v>
      </c>
      <c r="C23" s="57">
        <v>7.5</v>
      </c>
      <c r="D23" s="55">
        <v>15</v>
      </c>
      <c r="E23" s="55">
        <v>15</v>
      </c>
      <c r="F23" s="55">
        <v>15</v>
      </c>
      <c r="G23" s="55">
        <v>15</v>
      </c>
      <c r="H23" s="55">
        <v>15</v>
      </c>
      <c r="I23" s="55">
        <v>15</v>
      </c>
      <c r="J23" s="55">
        <v>15</v>
      </c>
      <c r="K23" s="55">
        <v>15</v>
      </c>
      <c r="L23" s="55">
        <v>15</v>
      </c>
      <c r="M23" s="55">
        <v>15</v>
      </c>
      <c r="N23" s="55">
        <v>15</v>
      </c>
      <c r="O23" s="55">
        <v>15</v>
      </c>
      <c r="P23" s="58">
        <f t="shared" si="8"/>
        <v>180</v>
      </c>
    </row>
    <row r="24" spans="1:16" x14ac:dyDescent="0.3">
      <c r="A24" s="5"/>
      <c r="B24" s="34" t="s">
        <v>105</v>
      </c>
      <c r="C24" s="57">
        <v>9</v>
      </c>
      <c r="D24" s="55">
        <v>15</v>
      </c>
      <c r="E24" s="55">
        <v>15</v>
      </c>
      <c r="F24" s="55">
        <v>15</v>
      </c>
      <c r="G24" s="55">
        <v>15</v>
      </c>
      <c r="H24" s="55">
        <v>15</v>
      </c>
      <c r="I24" s="55">
        <v>15</v>
      </c>
      <c r="J24" s="55">
        <v>15</v>
      </c>
      <c r="K24" s="55">
        <v>15</v>
      </c>
      <c r="L24" s="55">
        <v>15</v>
      </c>
      <c r="M24" s="55">
        <v>15</v>
      </c>
      <c r="N24" s="55">
        <v>15</v>
      </c>
      <c r="O24" s="55">
        <v>15</v>
      </c>
      <c r="P24" s="58">
        <f t="shared" si="8"/>
        <v>180</v>
      </c>
    </row>
    <row r="25" spans="1:16" x14ac:dyDescent="0.3">
      <c r="A25" s="5"/>
      <c r="B25" s="34" t="s">
        <v>106</v>
      </c>
      <c r="C25" s="57">
        <v>50</v>
      </c>
      <c r="D25" s="55">
        <v>15</v>
      </c>
      <c r="E25" s="55">
        <v>15</v>
      </c>
      <c r="F25" s="55">
        <v>15</v>
      </c>
      <c r="G25" s="55">
        <v>15</v>
      </c>
      <c r="H25" s="55">
        <v>15</v>
      </c>
      <c r="I25" s="55">
        <v>15</v>
      </c>
      <c r="J25" s="55">
        <v>15</v>
      </c>
      <c r="K25" s="55">
        <v>15</v>
      </c>
      <c r="L25" s="55">
        <v>15</v>
      </c>
      <c r="M25" s="55">
        <v>15</v>
      </c>
      <c r="N25" s="55">
        <v>15</v>
      </c>
      <c r="O25" s="55">
        <v>15</v>
      </c>
      <c r="P25" s="58">
        <f t="shared" si="8"/>
        <v>180</v>
      </c>
    </row>
    <row r="26" spans="1:16" x14ac:dyDescent="0.3">
      <c r="A26" s="21"/>
      <c r="B26" s="21" t="s">
        <v>29</v>
      </c>
      <c r="C26" s="21"/>
      <c r="D26" s="27">
        <f>SUM(D21:D25)</f>
        <v>75</v>
      </c>
      <c r="E26" s="27">
        <f t="shared" ref="E26:P26" si="9">SUM(E21:E25)</f>
        <v>75</v>
      </c>
      <c r="F26" s="27">
        <f t="shared" si="9"/>
        <v>75</v>
      </c>
      <c r="G26" s="27">
        <f t="shared" si="9"/>
        <v>75</v>
      </c>
      <c r="H26" s="27">
        <f t="shared" si="9"/>
        <v>75</v>
      </c>
      <c r="I26" s="27">
        <f t="shared" si="9"/>
        <v>75</v>
      </c>
      <c r="J26" s="27">
        <f t="shared" si="9"/>
        <v>75</v>
      </c>
      <c r="K26" s="27">
        <f t="shared" si="9"/>
        <v>75</v>
      </c>
      <c r="L26" s="27">
        <f t="shared" si="9"/>
        <v>75</v>
      </c>
      <c r="M26" s="27">
        <f t="shared" si="9"/>
        <v>75</v>
      </c>
      <c r="N26" s="27">
        <f t="shared" si="9"/>
        <v>75</v>
      </c>
      <c r="O26" s="27">
        <f t="shared" si="9"/>
        <v>75</v>
      </c>
      <c r="P26" s="27">
        <f t="shared" si="9"/>
        <v>900</v>
      </c>
    </row>
  </sheetData>
  <mergeCells count="1">
    <mergeCell ref="D19:O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I33"/>
  <sheetViews>
    <sheetView showGridLines="0" topLeftCell="A10" workbookViewId="0">
      <selection activeCell="D24" sqref="D24"/>
    </sheetView>
  </sheetViews>
  <sheetFormatPr baseColWidth="10" defaultRowHeight="14.4" x14ac:dyDescent="0.3"/>
  <cols>
    <col min="1" max="1" width="5.6640625" customWidth="1"/>
    <col min="2" max="2" width="34.6640625" customWidth="1"/>
    <col min="3" max="3" width="5.6640625" customWidth="1"/>
    <col min="4" max="15" width="11.5546875" customWidth="1"/>
    <col min="16" max="16" width="15.88671875" customWidth="1"/>
  </cols>
  <sheetData>
    <row r="3" spans="1:35" x14ac:dyDescent="0.3">
      <c r="C3" s="3" t="s">
        <v>117</v>
      </c>
    </row>
    <row r="7" spans="1:35" x14ac:dyDescent="0.3">
      <c r="A7" s="18"/>
      <c r="B7" s="18" t="s">
        <v>40</v>
      </c>
      <c r="C7" s="18" t="s">
        <v>13</v>
      </c>
      <c r="D7" s="19" t="s">
        <v>0</v>
      </c>
      <c r="E7" s="19" t="s">
        <v>1</v>
      </c>
      <c r="F7" s="19" t="s">
        <v>2</v>
      </c>
      <c r="G7" s="19" t="s">
        <v>3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  <c r="O7" s="19" t="s">
        <v>11</v>
      </c>
      <c r="P7" s="19" t="s">
        <v>65</v>
      </c>
    </row>
    <row r="8" spans="1:35" x14ac:dyDescent="0.3">
      <c r="A8" s="2" t="s">
        <v>34</v>
      </c>
      <c r="B8" s="2"/>
      <c r="C8" s="36">
        <v>0.21</v>
      </c>
      <c r="D8" s="57">
        <v>300</v>
      </c>
      <c r="E8" s="57">
        <v>300</v>
      </c>
      <c r="F8" s="57">
        <v>300</v>
      </c>
      <c r="G8" s="57">
        <v>300</v>
      </c>
      <c r="H8" s="57">
        <v>300</v>
      </c>
      <c r="I8" s="57">
        <v>300</v>
      </c>
      <c r="J8" s="57">
        <v>300</v>
      </c>
      <c r="K8" s="57">
        <v>300</v>
      </c>
      <c r="L8" s="57">
        <v>300</v>
      </c>
      <c r="M8" s="57">
        <v>300</v>
      </c>
      <c r="N8" s="57">
        <v>300</v>
      </c>
      <c r="O8" s="57">
        <v>300</v>
      </c>
      <c r="P8" s="16">
        <f t="shared" ref="P8" si="0">SUM(D8:O8)</f>
        <v>3600</v>
      </c>
      <c r="T8" s="1"/>
      <c r="U8" s="1"/>
      <c r="V8" s="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3" customFormat="1" x14ac:dyDescent="0.3">
      <c r="A9" s="7" t="s">
        <v>138</v>
      </c>
      <c r="B9" s="7"/>
      <c r="C9" s="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T9" s="1"/>
      <c r="U9" s="1"/>
      <c r="V9" s="1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x14ac:dyDescent="0.3">
      <c r="A10" s="2" t="s">
        <v>135</v>
      </c>
      <c r="B10" s="2"/>
      <c r="C10" s="15">
        <v>0.21</v>
      </c>
      <c r="D10" s="57">
        <v>50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16">
        <f t="shared" ref="P10:P29" si="1">SUM(D10:O10)</f>
        <v>50</v>
      </c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3">
      <c r="A11" s="2" t="s">
        <v>35</v>
      </c>
      <c r="B11" s="2"/>
      <c r="C11" s="15">
        <v>0.21</v>
      </c>
      <c r="D11" s="57">
        <v>45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16">
        <f t="shared" si="1"/>
        <v>45</v>
      </c>
    </row>
    <row r="12" spans="1:35" x14ac:dyDescent="0.3">
      <c r="A12" s="2" t="s">
        <v>36</v>
      </c>
      <c r="B12" s="2"/>
      <c r="C12" s="1"/>
      <c r="D12" s="57">
        <v>20</v>
      </c>
      <c r="E12" s="57">
        <v>20</v>
      </c>
      <c r="F12" s="57">
        <v>20</v>
      </c>
      <c r="G12" s="57">
        <v>20</v>
      </c>
      <c r="H12" s="57">
        <v>20</v>
      </c>
      <c r="I12" s="57">
        <v>20</v>
      </c>
      <c r="J12" s="57">
        <v>20</v>
      </c>
      <c r="K12" s="57">
        <v>20</v>
      </c>
      <c r="L12" s="57">
        <v>20</v>
      </c>
      <c r="M12" s="57">
        <v>20</v>
      </c>
      <c r="N12" s="57">
        <v>20</v>
      </c>
      <c r="O12" s="57">
        <v>20</v>
      </c>
      <c r="P12" s="16">
        <f t="shared" si="1"/>
        <v>240</v>
      </c>
    </row>
    <row r="13" spans="1:35" x14ac:dyDescent="0.3">
      <c r="A13" s="2" t="s">
        <v>37</v>
      </c>
      <c r="B13" s="2"/>
      <c r="C13" s="15">
        <v>0.21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16">
        <f t="shared" si="1"/>
        <v>0</v>
      </c>
    </row>
    <row r="14" spans="1:35" x14ac:dyDescent="0.3">
      <c r="A14" s="7" t="s">
        <v>38</v>
      </c>
      <c r="B14" s="7"/>
      <c r="C14" s="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35" x14ac:dyDescent="0.3">
      <c r="A15" s="2" t="s">
        <v>39</v>
      </c>
      <c r="B15" s="2"/>
      <c r="C15" s="36">
        <v>0.21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16">
        <f t="shared" si="1"/>
        <v>0</v>
      </c>
    </row>
    <row r="16" spans="1:35" x14ac:dyDescent="0.3">
      <c r="A16" s="2" t="s">
        <v>27</v>
      </c>
      <c r="B16" s="2"/>
      <c r="C16" s="36">
        <v>0.1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16">
        <f t="shared" si="1"/>
        <v>0</v>
      </c>
    </row>
    <row r="17" spans="1:16" x14ac:dyDescent="0.3">
      <c r="A17" s="2" t="s">
        <v>136</v>
      </c>
      <c r="B17" s="2"/>
      <c r="C17" s="36">
        <v>0.21</v>
      </c>
      <c r="D17" s="57">
        <v>45</v>
      </c>
      <c r="E17" s="57">
        <v>45</v>
      </c>
      <c r="F17" s="57">
        <v>45</v>
      </c>
      <c r="G17" s="57">
        <v>45</v>
      </c>
      <c r="H17" s="57">
        <v>45</v>
      </c>
      <c r="I17" s="57">
        <v>45</v>
      </c>
      <c r="J17" s="57">
        <v>45</v>
      </c>
      <c r="K17" s="57">
        <v>45</v>
      </c>
      <c r="L17" s="57">
        <v>45</v>
      </c>
      <c r="M17" s="57">
        <v>45</v>
      </c>
      <c r="N17" s="57">
        <v>45</v>
      </c>
      <c r="O17" s="57">
        <v>45</v>
      </c>
      <c r="P17" s="16">
        <f t="shared" si="1"/>
        <v>540</v>
      </c>
    </row>
    <row r="18" spans="1:16" x14ac:dyDescent="0.3">
      <c r="A18" s="7" t="s">
        <v>58</v>
      </c>
      <c r="B18" s="7"/>
      <c r="C18" s="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3">
      <c r="A19" s="2" t="s">
        <v>59</v>
      </c>
      <c r="B19" s="2"/>
      <c r="C19" s="36">
        <v>0.21</v>
      </c>
      <c r="D19" s="57">
        <v>50</v>
      </c>
      <c r="E19" s="57">
        <v>50</v>
      </c>
      <c r="F19" s="57">
        <v>50</v>
      </c>
      <c r="G19" s="57">
        <v>50</v>
      </c>
      <c r="H19" s="57">
        <v>50</v>
      </c>
      <c r="I19" s="57">
        <v>50</v>
      </c>
      <c r="J19" s="57">
        <v>50</v>
      </c>
      <c r="K19" s="57">
        <v>50</v>
      </c>
      <c r="L19" s="57">
        <v>50</v>
      </c>
      <c r="M19" s="57">
        <v>50</v>
      </c>
      <c r="N19" s="57">
        <v>50</v>
      </c>
      <c r="O19" s="57">
        <v>50</v>
      </c>
      <c r="P19" s="16">
        <f t="shared" si="1"/>
        <v>600</v>
      </c>
    </row>
    <row r="20" spans="1:16" x14ac:dyDescent="0.3">
      <c r="A20" s="2" t="s">
        <v>60</v>
      </c>
      <c r="B20" s="2"/>
      <c r="C20" s="36">
        <v>0.21</v>
      </c>
      <c r="D20" s="57">
        <v>20</v>
      </c>
      <c r="E20" s="57">
        <v>20</v>
      </c>
      <c r="F20" s="57">
        <v>20</v>
      </c>
      <c r="G20" s="57">
        <v>20</v>
      </c>
      <c r="H20" s="57">
        <v>20</v>
      </c>
      <c r="I20" s="57">
        <v>20</v>
      </c>
      <c r="J20" s="57">
        <v>20</v>
      </c>
      <c r="K20" s="57">
        <v>20</v>
      </c>
      <c r="L20" s="57">
        <v>20</v>
      </c>
      <c r="M20" s="57">
        <v>20</v>
      </c>
      <c r="N20" s="57">
        <v>20</v>
      </c>
      <c r="O20" s="57">
        <v>20</v>
      </c>
      <c r="P20" s="16">
        <f t="shared" si="1"/>
        <v>240</v>
      </c>
    </row>
    <row r="21" spans="1:16" x14ac:dyDescent="0.3">
      <c r="A21" s="2" t="s">
        <v>61</v>
      </c>
      <c r="B21" s="2"/>
      <c r="C21" s="36">
        <v>0.21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16">
        <f t="shared" si="1"/>
        <v>0</v>
      </c>
    </row>
    <row r="22" spans="1:16" s="3" customFormat="1" x14ac:dyDescent="0.3">
      <c r="A22" s="18" t="s">
        <v>42</v>
      </c>
      <c r="B22" s="18"/>
      <c r="C22" s="18"/>
      <c r="D22" s="20">
        <f>SUM(D8:D21)</f>
        <v>530</v>
      </c>
      <c r="E22" s="20">
        <f>SUM(E8:E21)</f>
        <v>435</v>
      </c>
      <c r="F22" s="20">
        <f>SUM(F8:F21)</f>
        <v>435</v>
      </c>
      <c r="G22" s="20">
        <f>SUM(G8:G21)</f>
        <v>435</v>
      </c>
      <c r="H22" s="20">
        <f>SUM(H8:H21)</f>
        <v>435</v>
      </c>
      <c r="I22" s="20">
        <f>SUM(I8:I21)</f>
        <v>435</v>
      </c>
      <c r="J22" s="20">
        <f>SUM(J8:J21)</f>
        <v>435</v>
      </c>
      <c r="K22" s="20">
        <f>SUM(K8:K21)</f>
        <v>435</v>
      </c>
      <c r="L22" s="20">
        <f>SUM(L8:L21)</f>
        <v>435</v>
      </c>
      <c r="M22" s="20">
        <f>SUM(M8:M21)</f>
        <v>435</v>
      </c>
      <c r="N22" s="20">
        <f>SUM(N8:N21)</f>
        <v>435</v>
      </c>
      <c r="O22" s="20">
        <f>SUM(O8:O21)</f>
        <v>435</v>
      </c>
      <c r="P22" s="20">
        <f>SUM(P15:P21)+SUM(P10:P13)+SUM(P8:P8)+AI7</f>
        <v>5315</v>
      </c>
    </row>
    <row r="23" spans="1:16" x14ac:dyDescent="0.3">
      <c r="A23" s="2" t="s">
        <v>33</v>
      </c>
      <c r="B23" s="2"/>
      <c r="C23" s="11"/>
      <c r="D23" s="57">
        <v>800</v>
      </c>
      <c r="E23" s="57">
        <v>1000</v>
      </c>
      <c r="F23" s="57">
        <v>1000</v>
      </c>
      <c r="G23" s="57">
        <v>1000</v>
      </c>
      <c r="H23" s="57">
        <v>1000</v>
      </c>
      <c r="I23" s="57">
        <v>1000</v>
      </c>
      <c r="J23" s="57">
        <v>1000</v>
      </c>
      <c r="K23" s="57">
        <v>1000</v>
      </c>
      <c r="L23" s="57">
        <v>1000</v>
      </c>
      <c r="M23" s="57">
        <v>1000</v>
      </c>
      <c r="N23" s="57">
        <v>1000</v>
      </c>
      <c r="O23" s="57">
        <v>1000</v>
      </c>
      <c r="P23" s="16">
        <f t="shared" si="1"/>
        <v>11800</v>
      </c>
    </row>
    <row r="24" spans="1:16" x14ac:dyDescent="0.3">
      <c r="A24" s="2" t="s">
        <v>30</v>
      </c>
      <c r="B24" s="2"/>
      <c r="C24" s="11"/>
      <c r="D24" s="57"/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16">
        <f t="shared" si="1"/>
        <v>0</v>
      </c>
    </row>
    <row r="25" spans="1:16" x14ac:dyDescent="0.3">
      <c r="A25" s="2" t="s">
        <v>31</v>
      </c>
      <c r="B25" s="2"/>
      <c r="C25" s="11"/>
      <c r="D25" s="57">
        <v>256.72000000000003</v>
      </c>
      <c r="E25" s="57">
        <v>256.72000000000003</v>
      </c>
      <c r="F25" s="57">
        <v>256.72000000000003</v>
      </c>
      <c r="G25" s="57">
        <v>256.72000000000003</v>
      </c>
      <c r="H25" s="57">
        <v>256.72000000000003</v>
      </c>
      <c r="I25" s="57">
        <v>256.72000000000003</v>
      </c>
      <c r="J25" s="57">
        <v>256.72000000000003</v>
      </c>
      <c r="K25" s="57">
        <v>256.72000000000003</v>
      </c>
      <c r="L25" s="57">
        <v>256.72000000000003</v>
      </c>
      <c r="M25" s="57">
        <v>256.72000000000003</v>
      </c>
      <c r="N25" s="57">
        <v>256.72000000000003</v>
      </c>
      <c r="O25" s="57">
        <v>256.72000000000003</v>
      </c>
      <c r="P25" s="16">
        <f t="shared" si="1"/>
        <v>3080.6400000000012</v>
      </c>
    </row>
    <row r="26" spans="1:16" x14ac:dyDescent="0.3">
      <c r="A26" s="18" t="s">
        <v>32</v>
      </c>
      <c r="B26" s="18"/>
      <c r="C26" s="18"/>
      <c r="D26" s="20">
        <f t="shared" ref="D26:P26" si="2">SUM(D23:D25)</f>
        <v>1056.72</v>
      </c>
      <c r="E26" s="20">
        <f t="shared" si="2"/>
        <v>1256.72</v>
      </c>
      <c r="F26" s="20">
        <f t="shared" si="2"/>
        <v>1256.72</v>
      </c>
      <c r="G26" s="20">
        <f t="shared" si="2"/>
        <v>1256.72</v>
      </c>
      <c r="H26" s="20">
        <f t="shared" si="2"/>
        <v>1256.72</v>
      </c>
      <c r="I26" s="20">
        <f t="shared" si="2"/>
        <v>1256.72</v>
      </c>
      <c r="J26" s="20">
        <f t="shared" si="2"/>
        <v>1256.72</v>
      </c>
      <c r="K26" s="20">
        <f t="shared" si="2"/>
        <v>1256.72</v>
      </c>
      <c r="L26" s="20">
        <f t="shared" si="2"/>
        <v>1256.72</v>
      </c>
      <c r="M26" s="20">
        <f t="shared" si="2"/>
        <v>1256.72</v>
      </c>
      <c r="N26" s="20">
        <f t="shared" si="2"/>
        <v>1256.72</v>
      </c>
      <c r="O26" s="20">
        <f t="shared" si="2"/>
        <v>1256.72</v>
      </c>
      <c r="P26" s="20">
        <f t="shared" si="2"/>
        <v>14880.640000000001</v>
      </c>
    </row>
    <row r="27" spans="1:16" x14ac:dyDescent="0.3">
      <c r="A27" s="2" t="s">
        <v>20</v>
      </c>
      <c r="B27" s="2"/>
      <c r="C27" s="11"/>
      <c r="D27" s="16">
        <f>'2_Inversiones '!D60</f>
        <v>35.708333333333336</v>
      </c>
      <c r="E27" s="16">
        <f>'2_Inversiones '!E60</f>
        <v>40.041666666666664</v>
      </c>
      <c r="F27" s="16">
        <v>45.21</v>
      </c>
      <c r="G27" s="16">
        <f>'2_Inversiones '!G60</f>
        <v>51.083333333333329</v>
      </c>
      <c r="H27" s="16">
        <f>'2_Inversiones '!H60</f>
        <v>55.25</v>
      </c>
      <c r="I27" s="16">
        <f>'2_Inversiones '!I60</f>
        <v>68.5</v>
      </c>
      <c r="J27" s="16">
        <f>'2_Inversiones '!J60</f>
        <v>72.666666666666671</v>
      </c>
      <c r="K27" s="16">
        <f>'2_Inversiones '!K60</f>
        <v>73.5</v>
      </c>
      <c r="L27" s="16">
        <f>'2_Inversiones '!L60</f>
        <v>76</v>
      </c>
      <c r="M27" s="16">
        <f>'2_Inversiones '!M60</f>
        <v>81.833333333333329</v>
      </c>
      <c r="N27" s="16">
        <f>'2_Inversiones '!N60</f>
        <v>83.5</v>
      </c>
      <c r="O27" s="16">
        <f>'2_Inversiones '!O60</f>
        <v>91.833333333333329</v>
      </c>
      <c r="P27" s="16">
        <f t="shared" si="1"/>
        <v>775.12666666666678</v>
      </c>
    </row>
    <row r="28" spans="1:16" x14ac:dyDescent="0.3">
      <c r="A28" s="18" t="s">
        <v>44</v>
      </c>
      <c r="B28" s="18"/>
      <c r="C28" s="18"/>
      <c r="D28" s="20">
        <f>D27</f>
        <v>35.708333333333336</v>
      </c>
      <c r="E28" s="20">
        <f t="shared" ref="E28:O28" si="3">E27</f>
        <v>40.041666666666664</v>
      </c>
      <c r="F28" s="20">
        <f t="shared" si="3"/>
        <v>45.21</v>
      </c>
      <c r="G28" s="20">
        <f t="shared" si="3"/>
        <v>51.083333333333329</v>
      </c>
      <c r="H28" s="20">
        <f t="shared" si="3"/>
        <v>55.25</v>
      </c>
      <c r="I28" s="20">
        <f t="shared" si="3"/>
        <v>68.5</v>
      </c>
      <c r="J28" s="20">
        <f t="shared" si="3"/>
        <v>72.666666666666671</v>
      </c>
      <c r="K28" s="20">
        <f t="shared" si="3"/>
        <v>73.5</v>
      </c>
      <c r="L28" s="20">
        <f t="shared" si="3"/>
        <v>76</v>
      </c>
      <c r="M28" s="20">
        <f t="shared" si="3"/>
        <v>81.833333333333329</v>
      </c>
      <c r="N28" s="20">
        <f t="shared" si="3"/>
        <v>83.5</v>
      </c>
      <c r="O28" s="20">
        <f t="shared" si="3"/>
        <v>91.833333333333329</v>
      </c>
      <c r="P28" s="20">
        <f>SUM(P27)</f>
        <v>775.12666666666678</v>
      </c>
    </row>
    <row r="29" spans="1:16" x14ac:dyDescent="0.3">
      <c r="A29" s="2" t="s">
        <v>45</v>
      </c>
      <c r="B29" s="2"/>
      <c r="C29" s="11"/>
      <c r="D29" s="57">
        <v>10</v>
      </c>
      <c r="E29" s="57">
        <v>10</v>
      </c>
      <c r="F29" s="57">
        <v>10</v>
      </c>
      <c r="G29" s="57">
        <v>10</v>
      </c>
      <c r="H29" s="57">
        <v>10</v>
      </c>
      <c r="I29" s="57">
        <v>10</v>
      </c>
      <c r="J29" s="57">
        <v>10</v>
      </c>
      <c r="K29" s="57">
        <v>10</v>
      </c>
      <c r="L29" s="57">
        <v>10</v>
      </c>
      <c r="M29" s="57">
        <v>10</v>
      </c>
      <c r="N29" s="57">
        <v>10</v>
      </c>
      <c r="O29" s="57">
        <v>10</v>
      </c>
      <c r="P29" s="16">
        <f t="shared" si="1"/>
        <v>120</v>
      </c>
    </row>
    <row r="30" spans="1:16" x14ac:dyDescent="0.3">
      <c r="A30" s="18" t="s">
        <v>43</v>
      </c>
      <c r="B30" s="18"/>
      <c r="C30" s="18"/>
      <c r="D30" s="20">
        <f>D29</f>
        <v>10</v>
      </c>
      <c r="E30" s="20">
        <f>SUM(E29)</f>
        <v>10</v>
      </c>
      <c r="F30" s="20">
        <f t="shared" ref="F30:O30" si="4">SUM(F29)</f>
        <v>10</v>
      </c>
      <c r="G30" s="20">
        <f t="shared" si="4"/>
        <v>10</v>
      </c>
      <c r="H30" s="20">
        <f t="shared" si="4"/>
        <v>10</v>
      </c>
      <c r="I30" s="20">
        <f t="shared" si="4"/>
        <v>10</v>
      </c>
      <c r="J30" s="20">
        <f t="shared" si="4"/>
        <v>10</v>
      </c>
      <c r="K30" s="20">
        <f t="shared" si="4"/>
        <v>10</v>
      </c>
      <c r="L30" s="20">
        <f t="shared" si="4"/>
        <v>10</v>
      </c>
      <c r="M30" s="20">
        <f t="shared" si="4"/>
        <v>10</v>
      </c>
      <c r="N30" s="20">
        <f t="shared" si="4"/>
        <v>10</v>
      </c>
      <c r="O30" s="20">
        <f t="shared" si="4"/>
        <v>10</v>
      </c>
      <c r="P30" s="20">
        <f>P29</f>
        <v>120</v>
      </c>
    </row>
    <row r="31" spans="1:16" x14ac:dyDescent="0.3">
      <c r="A31" s="21"/>
      <c r="B31" s="21" t="s">
        <v>46</v>
      </c>
      <c r="C31" s="21"/>
      <c r="D31" s="22">
        <f>W10+D26+D28+D30+D22</f>
        <v>1632.4283333333333</v>
      </c>
      <c r="E31" s="22">
        <f>X10+E26+E28+E30+E22</f>
        <v>1741.7616666666668</v>
      </c>
      <c r="F31" s="22">
        <f>Y10+F26+F28+F30+F22</f>
        <v>1746.93</v>
      </c>
      <c r="G31" s="22">
        <f>Z10+G26+G28+G30+G22</f>
        <v>1752.8033333333333</v>
      </c>
      <c r="H31" s="22">
        <f>AA10+H26+H28+H30+H22</f>
        <v>1756.97</v>
      </c>
      <c r="I31" s="22">
        <f>AB10+I26+I28+I30+I22</f>
        <v>1770.22</v>
      </c>
      <c r="J31" s="22">
        <f>AC10+J26+J28+J30+J22</f>
        <v>1774.3866666666668</v>
      </c>
      <c r="K31" s="22">
        <f>AD10+K26+K28+K30+K22</f>
        <v>1775.22</v>
      </c>
      <c r="L31" s="22">
        <f>AE10+L26+L28+L30+L22</f>
        <v>1777.72</v>
      </c>
      <c r="M31" s="22">
        <f>AF10+M26+M28+M30+M22</f>
        <v>1783.5533333333333</v>
      </c>
      <c r="N31" s="22">
        <f>AG10+N26+N28+N30+N22</f>
        <v>1785.22</v>
      </c>
      <c r="O31" s="22">
        <f>AH10+O26+O28+O30+O22</f>
        <v>1793.5533333333333</v>
      </c>
      <c r="P31" s="23">
        <f>P26+P28+P30+P22</f>
        <v>21090.76666666667</v>
      </c>
    </row>
    <row r="33" spans="1:16" x14ac:dyDescent="0.3">
      <c r="A33" s="18" t="s">
        <v>66</v>
      </c>
      <c r="B33" s="18"/>
      <c r="C33" s="18"/>
      <c r="D33" s="24">
        <f>(D8*(1+$C$8))+(D10*(1+$C$10))+((D11*(1+$C$11))+(D12*(1+$C$12))+(D13*(1+$C$13))+(D15*(1+$C$15))+(D16*(1+$C$16))+(D17*(1+$C$17))+(D19*(1+$C$19))+(D20*(1+$C$20))+(D21*(1+$C$21))++(D23*(1+$C$23))+(D24*(1+$C$24))+(D25*(1+$C$25))+(D27*(1+$C$27))+(D29*(1+$C$29)))</f>
        <v>1739.5283333333332</v>
      </c>
      <c r="E33" s="24">
        <f>(E8*(1+$C$8))+(E10*(1+$C$10))+((E11*(1+$C$11))+(E12*(1+$C$12))+(E13*(1+$C$13))+(E15*(1+$C$15))+(E16*(1+$C$16))+(E17*(1+$C$17))+(E19*(1+$C$19))+(E20*(1+$C$20))+(E21*(1+$C$21))++(E23*(1+$C$23))+(E24*(1+$C$24))+(E25*(1+$C$25))+(E27*(1+$C$27))+(E29*(1+$C$29)))</f>
        <v>1828.9116666666669</v>
      </c>
      <c r="F33" s="24">
        <f>(F8*(1+$C$8))+(F10*(1+$C$10))+((F11*(1+$C$11))+(F12*(1+$C$12))+(F13*(1+$C$13))+(F15*(1+$C$15))+(F16*(1+$C$16))+(F17*(1+$C$17))+(F19*(1+$C$19))+(F20*(1+$C$20))+(F21*(1+$C$21))++(F23*(1+$C$23))+(F24*(1+$C$24))+(F25*(1+$C$25))+(F27*(1+$C$27))+(F29*(1+$C$29)))</f>
        <v>1834.0800000000002</v>
      </c>
      <c r="G33" s="24">
        <f>(G8*(1+$C$8))+(G10*(1+$C$10))+((G11*(1+$C$11))+(G12*(1+$C$12))+(G13*(1+$C$13))+(G15*(1+$C$15))+(G16*(1+$C$16))+(G17*(1+$C$17))+(G19*(1+$C$19))+(G20*(1+$C$20))+(G21*(1+$C$21))++(G23*(1+$C$23))+(G24*(1+$C$24))+(G25*(1+$C$25))+(G27*(1+$C$27))+(G29*(1+$C$29)))</f>
        <v>1839.9533333333334</v>
      </c>
      <c r="H33" s="24">
        <f>(H8*(1+$C$8))+(H10*(1+$C$10))+((H11*(1+$C$11))+(H12*(1+$C$12))+(H13*(1+$C$13))+(H15*(1+$C$15))+(H16*(1+$C$16))+(H17*(1+$C$17))+(H19*(1+$C$19))+(H20*(1+$C$20))+(H21*(1+$C$21))++(H23*(1+$C$23))+(H24*(1+$C$24))+(H25*(1+$C$25))+(H27*(1+$C$27))+(H29*(1+$C$29)))</f>
        <v>1844.1200000000001</v>
      </c>
      <c r="I33" s="24">
        <f>(I8*(1+$C$8))+(I10*(1+$C$10))+((I11*(1+$C$11))+(I12*(1+$C$12))+(I13*(1+$C$13))+(I15*(1+$C$15))+(I16*(1+$C$16))+(I17*(1+$C$17))+(I19*(1+$C$19))+(I20*(1+$C$20))+(I21*(1+$C$21))++(I23*(1+$C$23))+(I24*(1+$C$24))+(I25*(1+$C$25))+(I27*(1+$C$27))+(I29*(1+$C$29)))</f>
        <v>1857.3700000000001</v>
      </c>
      <c r="J33" s="24">
        <f>(J8*(1+$C$8))+(J10*(1+$C$10))+((J11*(1+$C$11))+(J12*(1+$C$12))+(J13*(1+$C$13))+(J15*(1+$C$15))+(J16*(1+$C$16))+(J17*(1+$C$17))+(J19*(1+$C$19))+(J20*(1+$C$20))+(J21*(1+$C$21))++(J23*(1+$C$23))+(J24*(1+$C$24))+(J25*(1+$C$25))+(J27*(1+$C$27))+(J29*(1+$C$29)))</f>
        <v>1861.5366666666669</v>
      </c>
      <c r="K33" s="24">
        <f>(K8*(1+$C$8))+(K10*(1+$C$10))+((K11*(1+$C$11))+(K12*(1+$C$12))+(K13*(1+$C$13))+(K15*(1+$C$15))+(K16*(1+$C$16))+(K17*(1+$C$17))+(K19*(1+$C$19))+(K20*(1+$C$20))+(K21*(1+$C$21))++(K23*(1+$C$23))+(K24*(1+$C$24))+(K25*(1+$C$25))+(K27*(1+$C$27))+(K29*(1+$C$29)))</f>
        <v>1862.3700000000001</v>
      </c>
      <c r="L33" s="24">
        <f>(L8*(1+$C$8))+(L10*(1+$C$10))+((L11*(1+$C$11))+(L12*(1+$C$12))+(L13*(1+$C$13))+(L15*(1+$C$15))+(L16*(1+$C$16))+(L17*(1+$C$17))+(L19*(1+$C$19))+(L20*(1+$C$20))+(L21*(1+$C$21))++(L23*(1+$C$23))+(L24*(1+$C$24))+(L25*(1+$C$25))+(L27*(1+$C$27))+(L29*(1+$C$29)))</f>
        <v>1864.8700000000001</v>
      </c>
      <c r="M33" s="24">
        <f>(M8*(1+$C$8))+(M10*(1+$C$10))+((M11*(1+$C$11))+(M12*(1+$C$12))+(M13*(1+$C$13))+(M15*(1+$C$15))+(M16*(1+$C$16))+(M17*(1+$C$17))+(M19*(1+$C$19))+(M20*(1+$C$20))+(M21*(1+$C$21))++(M23*(1+$C$23))+(M24*(1+$C$24))+(M25*(1+$C$25))+(M27*(1+$C$27))+(M29*(1+$C$29)))</f>
        <v>1870.7033333333334</v>
      </c>
      <c r="N33" s="24">
        <f>(N8*(1+$C$8))+(N10*(1+$C$10))+((N11*(1+$C$11))+(N12*(1+$C$12))+(N13*(1+$C$13))+(N15*(1+$C$15))+(N16*(1+$C$16))+(N17*(1+$C$17))+(N19*(1+$C$19))+(N20*(1+$C$20))+(N21*(1+$C$21))++(N23*(1+$C$23))+(N24*(1+$C$24))+(N25*(1+$C$25))+(N27*(1+$C$27))+(N29*(1+$C$29)))</f>
        <v>1872.3700000000001</v>
      </c>
      <c r="O33" s="24">
        <f>(O8*(1+$C$8))+(O10*(1+$C$10))+((O11*(1+$C$11))+(O12*(1+$C$12))+(O13*(1+$C$13))+(O15*(1+$C$15))+(O16*(1+$C$16))+(O17*(1+$C$17))+(O19*(1+$C$19))+(O20*(1+$C$20))+(O21*(1+$C$21))++(O23*(1+$C$23))+(O24*(1+$C$24))+(O25*(1+$C$25))+(O27*(1+$C$27))+(O29*(1+$C$29)))</f>
        <v>1880.7033333333334</v>
      </c>
      <c r="P33" s="24">
        <f>(P8*(1+$C$8))+(P10*(1+$C$10))+((P11*(1+$C$11))+(P12*(1+$C$12))+(P13*(1+$C$13))+(P15*(1+$C$15))+(P16*(1+$C$16))+(P17*(1+$C$17))+(P19*(1+$C$19))+(P20*(1+$C$20))+(P21*(1+$C$21))++(P23*(1+$C$23))+(P24*(1+$C$24))+(P25*(1+$C$25))+(P27*(1+$C$27))+(P29*(1+$C$29)))</f>
        <v>22156.516666666666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P36"/>
  <sheetViews>
    <sheetView showGridLines="0" topLeftCell="A3" workbookViewId="0">
      <selection activeCell="C31" sqref="C31:C32"/>
    </sheetView>
  </sheetViews>
  <sheetFormatPr baseColWidth="10" defaultRowHeight="14.4" x14ac:dyDescent="0.3"/>
  <cols>
    <col min="1" max="1" width="9.44140625" customWidth="1"/>
    <col min="2" max="2" width="21.88671875" customWidth="1"/>
    <col min="3" max="3" width="9.6640625" customWidth="1"/>
    <col min="4" max="4" width="12.109375" customWidth="1"/>
    <col min="5" max="15" width="11.5546875" customWidth="1"/>
    <col min="16" max="16" width="15.88671875" customWidth="1"/>
  </cols>
  <sheetData>
    <row r="4" spans="1:16" x14ac:dyDescent="0.3">
      <c r="C4" s="3" t="s">
        <v>117</v>
      </c>
    </row>
    <row r="7" spans="1:16" x14ac:dyDescent="0.3">
      <c r="A7" s="18"/>
      <c r="B7" s="18" t="s">
        <v>74</v>
      </c>
      <c r="C7" s="18" t="s">
        <v>13</v>
      </c>
      <c r="D7" s="19" t="s">
        <v>0</v>
      </c>
      <c r="E7" s="19" t="s">
        <v>1</v>
      </c>
      <c r="F7" s="19" t="s">
        <v>2</v>
      </c>
      <c r="G7" s="19" t="s">
        <v>3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  <c r="O7" s="19" t="s">
        <v>11</v>
      </c>
      <c r="P7" s="19" t="s">
        <v>16</v>
      </c>
    </row>
    <row r="8" spans="1:16" x14ac:dyDescent="0.3">
      <c r="A8" s="5" t="s">
        <v>75</v>
      </c>
      <c r="B8" s="1" t="str">
        <f>B19</f>
        <v>Producto 1</v>
      </c>
      <c r="C8" s="15">
        <v>0.21</v>
      </c>
      <c r="D8" s="16">
        <f>D19*$C$19</f>
        <v>20000</v>
      </c>
      <c r="E8" s="16">
        <f t="shared" ref="E8:O8" si="0">E19*$C$19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ref="P8:P13" si="1">SUM(D8:O8)</f>
        <v>20000</v>
      </c>
    </row>
    <row r="9" spans="1:16" s="3" customFormat="1" x14ac:dyDescent="0.3">
      <c r="A9" s="5" t="s">
        <v>75</v>
      </c>
      <c r="B9" s="1" t="str">
        <f t="shared" ref="B9:B12" si="2">B20</f>
        <v>Producto 2</v>
      </c>
      <c r="C9" s="15">
        <v>0.21</v>
      </c>
      <c r="D9" s="16">
        <f>D20*$C$20</f>
        <v>2000</v>
      </c>
      <c r="E9" s="16">
        <f t="shared" ref="E9:O9" si="3">E20*$C$20</f>
        <v>0</v>
      </c>
      <c r="F9" s="16">
        <f t="shared" si="3"/>
        <v>0</v>
      </c>
      <c r="G9" s="16">
        <f t="shared" si="3"/>
        <v>0</v>
      </c>
      <c r="H9" s="16">
        <f t="shared" si="3"/>
        <v>0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3"/>
        <v>0</v>
      </c>
      <c r="M9" s="16">
        <f t="shared" si="3"/>
        <v>0</v>
      </c>
      <c r="N9" s="16">
        <f t="shared" si="3"/>
        <v>0</v>
      </c>
      <c r="O9" s="16">
        <f t="shared" si="3"/>
        <v>0</v>
      </c>
      <c r="P9" s="16">
        <f t="shared" si="1"/>
        <v>2000</v>
      </c>
    </row>
    <row r="10" spans="1:16" x14ac:dyDescent="0.3">
      <c r="A10" s="5" t="s">
        <v>75</v>
      </c>
      <c r="B10" s="1" t="str">
        <f t="shared" si="2"/>
        <v>Producto 3</v>
      </c>
      <c r="C10" s="15">
        <v>0.21</v>
      </c>
      <c r="D10" s="16">
        <f>D21*$C$21</f>
        <v>3000</v>
      </c>
      <c r="E10" s="16">
        <f t="shared" ref="E10:O10" si="4">E21*$C$21</f>
        <v>0</v>
      </c>
      <c r="F10" s="16">
        <f t="shared" si="4"/>
        <v>0</v>
      </c>
      <c r="G10" s="16">
        <f t="shared" si="4"/>
        <v>0</v>
      </c>
      <c r="H10" s="16">
        <f t="shared" si="4"/>
        <v>0</v>
      </c>
      <c r="I10" s="16">
        <f t="shared" si="4"/>
        <v>0</v>
      </c>
      <c r="J10" s="16">
        <f t="shared" si="4"/>
        <v>0</v>
      </c>
      <c r="K10" s="16">
        <f t="shared" si="4"/>
        <v>0</v>
      </c>
      <c r="L10" s="16">
        <f t="shared" si="4"/>
        <v>0</v>
      </c>
      <c r="M10" s="16">
        <f t="shared" si="4"/>
        <v>0</v>
      </c>
      <c r="N10" s="16">
        <f t="shared" si="4"/>
        <v>0</v>
      </c>
      <c r="O10" s="16">
        <f t="shared" si="4"/>
        <v>0</v>
      </c>
      <c r="P10" s="16">
        <f t="shared" si="1"/>
        <v>3000</v>
      </c>
    </row>
    <row r="11" spans="1:16" x14ac:dyDescent="0.3">
      <c r="A11" s="5" t="s">
        <v>75</v>
      </c>
      <c r="B11" s="1" t="str">
        <f t="shared" si="2"/>
        <v>Producto 4</v>
      </c>
      <c r="C11" s="15">
        <v>0.21</v>
      </c>
      <c r="D11" s="16">
        <f>D22*$C$22</f>
        <v>4000</v>
      </c>
      <c r="E11" s="16">
        <f t="shared" ref="E11:O11" si="5">E22*$C$22</f>
        <v>0</v>
      </c>
      <c r="F11" s="16">
        <f t="shared" si="5"/>
        <v>0</v>
      </c>
      <c r="G11" s="16">
        <f t="shared" si="5"/>
        <v>0</v>
      </c>
      <c r="H11" s="16">
        <f t="shared" si="5"/>
        <v>0</v>
      </c>
      <c r="I11" s="16">
        <f t="shared" si="5"/>
        <v>0</v>
      </c>
      <c r="J11" s="16">
        <f t="shared" si="5"/>
        <v>0</v>
      </c>
      <c r="K11" s="16">
        <f t="shared" si="5"/>
        <v>0</v>
      </c>
      <c r="L11" s="16">
        <f t="shared" si="5"/>
        <v>0</v>
      </c>
      <c r="M11" s="16">
        <f t="shared" si="5"/>
        <v>0</v>
      </c>
      <c r="N11" s="16">
        <f t="shared" si="5"/>
        <v>0</v>
      </c>
      <c r="O11" s="16">
        <f t="shared" si="5"/>
        <v>0</v>
      </c>
      <c r="P11" s="16">
        <f t="shared" si="1"/>
        <v>4000</v>
      </c>
    </row>
    <row r="12" spans="1:16" x14ac:dyDescent="0.3">
      <c r="A12" s="5" t="s">
        <v>75</v>
      </c>
      <c r="B12" s="1" t="str">
        <f t="shared" si="2"/>
        <v>Producto 5</v>
      </c>
      <c r="C12" s="15">
        <v>0.21</v>
      </c>
      <c r="D12" s="16">
        <f>D23*$C$23</f>
        <v>5000</v>
      </c>
      <c r="E12" s="16">
        <f t="shared" ref="E12:O12" si="6">E23*$C$23</f>
        <v>0</v>
      </c>
      <c r="F12" s="16">
        <f t="shared" si="6"/>
        <v>0</v>
      </c>
      <c r="G12" s="16">
        <f t="shared" si="6"/>
        <v>0</v>
      </c>
      <c r="H12" s="16">
        <f t="shared" si="6"/>
        <v>0</v>
      </c>
      <c r="I12" s="16">
        <f t="shared" si="6"/>
        <v>0</v>
      </c>
      <c r="J12" s="16">
        <f t="shared" si="6"/>
        <v>0</v>
      </c>
      <c r="K12" s="16">
        <f t="shared" si="6"/>
        <v>0</v>
      </c>
      <c r="L12" s="16">
        <f t="shared" si="6"/>
        <v>0</v>
      </c>
      <c r="M12" s="16">
        <f t="shared" si="6"/>
        <v>0</v>
      </c>
      <c r="N12" s="16">
        <f t="shared" si="6"/>
        <v>0</v>
      </c>
      <c r="O12" s="16">
        <f t="shared" si="6"/>
        <v>0</v>
      </c>
      <c r="P12" s="16">
        <f t="shared" si="1"/>
        <v>5000</v>
      </c>
    </row>
    <row r="13" spans="1:16" x14ac:dyDescent="0.3">
      <c r="A13" s="29"/>
      <c r="B13" s="18" t="s">
        <v>28</v>
      </c>
      <c r="C13" s="18"/>
      <c r="D13" s="20">
        <f>SUM(D8:D12)</f>
        <v>34000</v>
      </c>
      <c r="E13" s="20">
        <f t="shared" ref="E13:O13" si="7">SUM(E8:E12)</f>
        <v>0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0</v>
      </c>
      <c r="K13" s="20">
        <f t="shared" si="7"/>
        <v>0</v>
      </c>
      <c r="L13" s="20">
        <f t="shared" si="7"/>
        <v>0</v>
      </c>
      <c r="M13" s="20">
        <f t="shared" si="7"/>
        <v>0</v>
      </c>
      <c r="N13" s="20">
        <f t="shared" si="7"/>
        <v>0</v>
      </c>
      <c r="O13" s="20">
        <f t="shared" si="7"/>
        <v>0</v>
      </c>
      <c r="P13" s="20">
        <f t="shared" si="1"/>
        <v>34000</v>
      </c>
    </row>
    <row r="14" spans="1:16" s="1" customFormat="1" hidden="1" x14ac:dyDescent="0.3">
      <c r="A14" s="29"/>
      <c r="B14" s="18" t="s">
        <v>28</v>
      </c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x14ac:dyDescent="0.3">
      <c r="A15" s="29"/>
      <c r="B15" s="18" t="s">
        <v>62</v>
      </c>
      <c r="C15" s="18"/>
      <c r="D15" s="20">
        <f>D8*(1+$C$8)+D9*(1+$C$9)+D10*(1+$C$10)+D11*(1+$C$11)+D12*(1+$C$12)</f>
        <v>41140</v>
      </c>
      <c r="E15" s="20">
        <f t="shared" ref="E15:O15" si="8">E8*(1+$C$8)+E9*(1+$C$9)+E10*(1+$C$10)+E11*(1+$C$11)+E12*(1+$C$12)</f>
        <v>0</v>
      </c>
      <c r="F15" s="20">
        <f t="shared" si="8"/>
        <v>0</v>
      </c>
      <c r="G15" s="20">
        <f t="shared" si="8"/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0</v>
      </c>
      <c r="N15" s="20">
        <f t="shared" si="8"/>
        <v>0</v>
      </c>
      <c r="O15" s="20">
        <f t="shared" si="8"/>
        <v>0</v>
      </c>
      <c r="P15" s="20">
        <f>SUM(D15:O15)</f>
        <v>41140</v>
      </c>
    </row>
    <row r="16" spans="1:16" s="1" customFormat="1" hidden="1" x14ac:dyDescent="0.3">
      <c r="A16" s="29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idden="1" x14ac:dyDescent="0.3">
      <c r="A17" s="30"/>
      <c r="B17" s="30"/>
      <c r="C17" s="30"/>
      <c r="D17" s="93" t="s">
        <v>55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30"/>
    </row>
    <row r="18" spans="1:16" x14ac:dyDescent="0.3">
      <c r="A18" s="18" t="s">
        <v>73</v>
      </c>
      <c r="B18" s="18"/>
      <c r="C18" s="18" t="s">
        <v>54</v>
      </c>
      <c r="D18" s="19" t="s">
        <v>0</v>
      </c>
      <c r="E18" s="19" t="s">
        <v>1</v>
      </c>
      <c r="F18" s="19" t="s">
        <v>2</v>
      </c>
      <c r="G18" s="19" t="s">
        <v>3</v>
      </c>
      <c r="H18" s="19" t="s">
        <v>4</v>
      </c>
      <c r="I18" s="19" t="s">
        <v>5</v>
      </c>
      <c r="J18" s="19" t="s">
        <v>6</v>
      </c>
      <c r="K18" s="19" t="s">
        <v>7</v>
      </c>
      <c r="L18" s="19" t="s">
        <v>8</v>
      </c>
      <c r="M18" s="19" t="s">
        <v>9</v>
      </c>
      <c r="N18" s="19" t="s">
        <v>10</v>
      </c>
      <c r="O18" s="19" t="s">
        <v>11</v>
      </c>
      <c r="P18" s="19" t="s">
        <v>16</v>
      </c>
    </row>
    <row r="19" spans="1:16" x14ac:dyDescent="0.3">
      <c r="A19" s="5" t="s">
        <v>76</v>
      </c>
      <c r="B19" s="1" t="s">
        <v>49</v>
      </c>
      <c r="C19" s="31">
        <v>1</v>
      </c>
      <c r="D19" s="6">
        <v>20000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4">
        <f t="shared" ref="P19:P24" si="9">SUM(D19:O19)</f>
        <v>20000</v>
      </c>
    </row>
    <row r="20" spans="1:16" x14ac:dyDescent="0.3">
      <c r="A20" s="5" t="s">
        <v>76</v>
      </c>
      <c r="B20" s="1" t="s">
        <v>50</v>
      </c>
      <c r="C20" s="31">
        <v>2</v>
      </c>
      <c r="D20" s="6">
        <v>1000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">
        <f t="shared" si="9"/>
        <v>1000</v>
      </c>
    </row>
    <row r="21" spans="1:16" x14ac:dyDescent="0.3">
      <c r="A21" s="5" t="s">
        <v>76</v>
      </c>
      <c r="B21" s="1" t="s">
        <v>51</v>
      </c>
      <c r="C21" s="31">
        <v>3</v>
      </c>
      <c r="D21" s="6">
        <v>1000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4">
        <f t="shared" si="9"/>
        <v>1000</v>
      </c>
    </row>
    <row r="22" spans="1:16" x14ac:dyDescent="0.3">
      <c r="A22" s="5" t="s">
        <v>76</v>
      </c>
      <c r="B22" s="1" t="s">
        <v>52</v>
      </c>
      <c r="C22" s="31">
        <v>4</v>
      </c>
      <c r="D22" s="6">
        <v>1000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4">
        <f t="shared" si="9"/>
        <v>1000</v>
      </c>
    </row>
    <row r="23" spans="1:16" x14ac:dyDescent="0.3">
      <c r="A23" s="5" t="s">
        <v>76</v>
      </c>
      <c r="B23" s="1" t="s">
        <v>53</v>
      </c>
      <c r="C23" s="31">
        <v>5</v>
      </c>
      <c r="D23" s="6">
        <v>1000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4">
        <f t="shared" si="9"/>
        <v>1000</v>
      </c>
    </row>
    <row r="24" spans="1:16" x14ac:dyDescent="0.3">
      <c r="A24" s="29"/>
      <c r="B24" s="18" t="s">
        <v>28</v>
      </c>
      <c r="C24" s="18"/>
      <c r="D24" s="19">
        <f t="shared" ref="D24:O24" si="10">SUM(D19:D23)</f>
        <v>24000</v>
      </c>
      <c r="E24" s="19">
        <f t="shared" si="10"/>
        <v>0</v>
      </c>
      <c r="F24" s="19">
        <f t="shared" si="10"/>
        <v>0</v>
      </c>
      <c r="G24" s="19">
        <f t="shared" si="10"/>
        <v>0</v>
      </c>
      <c r="H24" s="19">
        <f t="shared" si="10"/>
        <v>0</v>
      </c>
      <c r="I24" s="19">
        <f t="shared" si="10"/>
        <v>0</v>
      </c>
      <c r="J24" s="19">
        <f t="shared" si="10"/>
        <v>0</v>
      </c>
      <c r="K24" s="19">
        <f t="shared" si="10"/>
        <v>0</v>
      </c>
      <c r="L24" s="19">
        <f t="shared" si="10"/>
        <v>0</v>
      </c>
      <c r="M24" s="19">
        <f t="shared" si="10"/>
        <v>0</v>
      </c>
      <c r="N24" s="19">
        <f t="shared" si="10"/>
        <v>0</v>
      </c>
      <c r="O24" s="19">
        <f t="shared" si="10"/>
        <v>0</v>
      </c>
      <c r="P24" s="19">
        <f t="shared" si="9"/>
        <v>24000</v>
      </c>
    </row>
    <row r="28" spans="1:16" x14ac:dyDescent="0.3">
      <c r="A28" s="18"/>
      <c r="B28" s="18" t="s">
        <v>12</v>
      </c>
      <c r="C28" s="65" t="s">
        <v>13</v>
      </c>
      <c r="D28" s="19" t="s">
        <v>0</v>
      </c>
      <c r="E28" s="19" t="s">
        <v>1</v>
      </c>
      <c r="F28" s="19" t="s">
        <v>2</v>
      </c>
      <c r="G28" s="19" t="s">
        <v>3</v>
      </c>
      <c r="H28" s="19" t="s">
        <v>4</v>
      </c>
      <c r="I28" s="19" t="s">
        <v>5</v>
      </c>
      <c r="J28" s="19" t="s">
        <v>6</v>
      </c>
      <c r="K28" s="19" t="s">
        <v>7</v>
      </c>
      <c r="L28" s="19" t="s">
        <v>8</v>
      </c>
      <c r="M28" s="19" t="s">
        <v>9</v>
      </c>
      <c r="N28" s="19" t="s">
        <v>10</v>
      </c>
      <c r="O28" s="19" t="s">
        <v>11</v>
      </c>
      <c r="P28" s="19" t="s">
        <v>16</v>
      </c>
    </row>
    <row r="29" spans="1:16" ht="15" thickBot="1" x14ac:dyDescent="0.35">
      <c r="A29" s="28" t="s">
        <v>18</v>
      </c>
      <c r="B29" s="66" t="s">
        <v>15</v>
      </c>
      <c r="C29" s="67"/>
      <c r="D29" s="64">
        <f>D13</f>
        <v>34000</v>
      </c>
      <c r="E29" s="64">
        <f t="shared" ref="E29:O29" si="11">E13</f>
        <v>0</v>
      </c>
      <c r="F29" s="64">
        <f t="shared" si="11"/>
        <v>0</v>
      </c>
      <c r="G29" s="64">
        <f t="shared" si="11"/>
        <v>0</v>
      </c>
      <c r="H29" s="64">
        <f t="shared" si="11"/>
        <v>0</v>
      </c>
      <c r="I29" s="64">
        <f t="shared" si="11"/>
        <v>0</v>
      </c>
      <c r="J29" s="64">
        <f t="shared" si="11"/>
        <v>0</v>
      </c>
      <c r="K29" s="64">
        <f t="shared" si="11"/>
        <v>0</v>
      </c>
      <c r="L29" s="64">
        <f t="shared" si="11"/>
        <v>0</v>
      </c>
      <c r="M29" s="64">
        <f t="shared" si="11"/>
        <v>0</v>
      </c>
      <c r="N29" s="64">
        <f t="shared" si="11"/>
        <v>0</v>
      </c>
      <c r="O29" s="64">
        <f t="shared" si="11"/>
        <v>0</v>
      </c>
      <c r="P29" s="23">
        <f>SUM(D29:O29)</f>
        <v>34000</v>
      </c>
    </row>
    <row r="30" spans="1:16" ht="15.6" thickTop="1" thickBot="1" x14ac:dyDescent="0.35">
      <c r="A30" s="28" t="s">
        <v>18</v>
      </c>
      <c r="B30" s="21" t="s">
        <v>68</v>
      </c>
      <c r="C30" s="66"/>
      <c r="D30" s="63">
        <v>7000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>
        <v>7000</v>
      </c>
      <c r="P30" s="23">
        <f t="shared" ref="P30:P32" si="12">SUM(D30:O30)</f>
        <v>14000</v>
      </c>
    </row>
    <row r="31" spans="1:16" ht="15.6" thickTop="1" thickBot="1" x14ac:dyDescent="0.35">
      <c r="A31" s="28" t="s">
        <v>18</v>
      </c>
      <c r="B31" s="21" t="s">
        <v>69</v>
      </c>
      <c r="C31" s="95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23">
        <f t="shared" si="12"/>
        <v>0</v>
      </c>
    </row>
    <row r="32" spans="1:16" ht="15.6" thickTop="1" thickBot="1" x14ac:dyDescent="0.35">
      <c r="A32" s="60" t="s">
        <v>18</v>
      </c>
      <c r="B32" s="61" t="s">
        <v>70</v>
      </c>
      <c r="C32" s="96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23">
        <f t="shared" si="12"/>
        <v>0</v>
      </c>
    </row>
    <row r="33" spans="1:16" ht="15" thickTop="1" x14ac:dyDescent="0.3"/>
    <row r="34" spans="1:16" x14ac:dyDescent="0.3">
      <c r="A34" s="29" t="s">
        <v>17</v>
      </c>
      <c r="B34" s="18" t="s">
        <v>71</v>
      </c>
      <c r="C34" s="18"/>
      <c r="D34" s="20">
        <f>D29+D30+D31+D32</f>
        <v>41000</v>
      </c>
      <c r="E34" s="20">
        <f t="shared" ref="E34:O34" si="13">E29+E30+E31+E32</f>
        <v>0</v>
      </c>
      <c r="F34" s="20">
        <f t="shared" si="13"/>
        <v>0</v>
      </c>
      <c r="G34" s="20">
        <f t="shared" si="13"/>
        <v>0</v>
      </c>
      <c r="H34" s="20">
        <f t="shared" si="13"/>
        <v>0</v>
      </c>
      <c r="I34" s="20">
        <f t="shared" si="13"/>
        <v>0</v>
      </c>
      <c r="J34" s="20">
        <f t="shared" si="13"/>
        <v>0</v>
      </c>
      <c r="K34" s="20">
        <f t="shared" si="13"/>
        <v>0</v>
      </c>
      <c r="L34" s="20">
        <f t="shared" si="13"/>
        <v>0</v>
      </c>
      <c r="M34" s="20">
        <f t="shared" si="13"/>
        <v>0</v>
      </c>
      <c r="N34" s="20">
        <f t="shared" si="13"/>
        <v>0</v>
      </c>
      <c r="O34" s="20">
        <f t="shared" si="13"/>
        <v>7000</v>
      </c>
      <c r="P34" s="20">
        <f>SUM(P29:P32)</f>
        <v>48000</v>
      </c>
    </row>
    <row r="36" spans="1:16" x14ac:dyDescent="0.3">
      <c r="A36" s="29" t="s">
        <v>17</v>
      </c>
      <c r="B36" s="18" t="s">
        <v>72</v>
      </c>
      <c r="C36" s="18"/>
      <c r="D36" s="20">
        <f>D15+D30+D31+D32*(1+$C$32)</f>
        <v>48140</v>
      </c>
      <c r="E36" s="20">
        <f t="shared" ref="E36:O36" si="14">E15+E30+E31+E32*(1+$C$32)</f>
        <v>0</v>
      </c>
      <c r="F36" s="20">
        <f t="shared" si="14"/>
        <v>0</v>
      </c>
      <c r="G36" s="20">
        <f t="shared" si="14"/>
        <v>0</v>
      </c>
      <c r="H36" s="20">
        <f t="shared" si="14"/>
        <v>0</v>
      </c>
      <c r="I36" s="20">
        <f t="shared" si="14"/>
        <v>0</v>
      </c>
      <c r="J36" s="20">
        <f t="shared" si="14"/>
        <v>0</v>
      </c>
      <c r="K36" s="20">
        <f t="shared" si="14"/>
        <v>0</v>
      </c>
      <c r="L36" s="20">
        <f t="shared" si="14"/>
        <v>0</v>
      </c>
      <c r="M36" s="20">
        <f t="shared" si="14"/>
        <v>0</v>
      </c>
      <c r="N36" s="20">
        <f t="shared" si="14"/>
        <v>0</v>
      </c>
      <c r="O36" s="20">
        <f t="shared" si="14"/>
        <v>7000</v>
      </c>
      <c r="P36" s="20">
        <f>P29*1.21</f>
        <v>41140</v>
      </c>
    </row>
  </sheetData>
  <mergeCells count="1">
    <mergeCell ref="D17:O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26"/>
  <sheetViews>
    <sheetView showGridLines="0" topLeftCell="A7" workbookViewId="0">
      <selection activeCell="B13" sqref="B13"/>
    </sheetView>
  </sheetViews>
  <sheetFormatPr baseColWidth="10" defaultRowHeight="14.4" x14ac:dyDescent="0.3"/>
  <cols>
    <col min="1" max="1" width="4.44140625" customWidth="1"/>
    <col min="2" max="2" width="80.44140625" customWidth="1"/>
    <col min="3" max="3" width="19.44140625" customWidth="1"/>
  </cols>
  <sheetData>
    <row r="3" spans="1:3" x14ac:dyDescent="0.3">
      <c r="B3" s="89" t="s">
        <v>117</v>
      </c>
    </row>
    <row r="6" spans="1:3" ht="15" thickBot="1" x14ac:dyDescent="0.35"/>
    <row r="7" spans="1:3" ht="16.2" thickTop="1" x14ac:dyDescent="0.3">
      <c r="B7" s="68" t="s">
        <v>108</v>
      </c>
      <c r="C7" s="69"/>
    </row>
    <row r="8" spans="1:3" x14ac:dyDescent="0.3">
      <c r="A8" s="3" t="s">
        <v>18</v>
      </c>
      <c r="B8" s="70" t="s">
        <v>109</v>
      </c>
      <c r="C8" s="82">
        <f>'5_VENTAS'!P29</f>
        <v>34000</v>
      </c>
    </row>
    <row r="9" spans="1:3" x14ac:dyDescent="0.3">
      <c r="A9" s="3" t="s">
        <v>19</v>
      </c>
      <c r="B9" s="73" t="s">
        <v>118</v>
      </c>
      <c r="C9" s="83">
        <f>-'3_GASTOS VARIABLES'!P13</f>
        <v>-20070</v>
      </c>
    </row>
    <row r="10" spans="1:3" x14ac:dyDescent="0.3">
      <c r="A10" s="3" t="s">
        <v>18</v>
      </c>
      <c r="B10" s="70" t="s">
        <v>119</v>
      </c>
      <c r="C10" s="82">
        <f>'5_VENTAS'!P30+'5_VENTAS'!P32</f>
        <v>14000</v>
      </c>
    </row>
    <row r="11" spans="1:3" x14ac:dyDescent="0.3">
      <c r="A11" s="3" t="s">
        <v>19</v>
      </c>
      <c r="B11" s="73" t="s">
        <v>120</v>
      </c>
      <c r="C11" s="83">
        <f>-'4_GASTOS FIJOS'!P26</f>
        <v>-14880.640000000001</v>
      </c>
    </row>
    <row r="12" spans="1:3" x14ac:dyDescent="0.3">
      <c r="A12" s="3" t="s">
        <v>19</v>
      </c>
      <c r="B12" s="72" t="s">
        <v>121</v>
      </c>
      <c r="C12" s="84">
        <f>-'4_GASTOS FIJOS'!P22</f>
        <v>-5315</v>
      </c>
    </row>
    <row r="13" spans="1:3" ht="15" thickBot="1" x14ac:dyDescent="0.35">
      <c r="A13" s="3" t="s">
        <v>19</v>
      </c>
      <c r="B13" s="74" t="s">
        <v>122</v>
      </c>
      <c r="C13" s="85">
        <f>-'4_GASTOS FIJOS'!P28</f>
        <v>-775.12666666666678</v>
      </c>
    </row>
    <row r="14" spans="1:3" ht="15.6" thickTop="1" thickBot="1" x14ac:dyDescent="0.35">
      <c r="A14" s="3"/>
      <c r="B14" s="75" t="s">
        <v>123</v>
      </c>
      <c r="C14" s="76">
        <f>SUM(C8:C13)</f>
        <v>6959.2333333333318</v>
      </c>
    </row>
    <row r="15" spans="1:3" ht="15" thickTop="1" x14ac:dyDescent="0.3">
      <c r="A15" s="3" t="s">
        <v>18</v>
      </c>
      <c r="B15" s="71" t="s">
        <v>124</v>
      </c>
      <c r="C15" s="86">
        <f>'5_VENTAS'!P31</f>
        <v>0</v>
      </c>
    </row>
    <row r="16" spans="1:3" ht="15" thickBot="1" x14ac:dyDescent="0.35">
      <c r="A16" s="3" t="s">
        <v>19</v>
      </c>
      <c r="B16" s="73" t="s">
        <v>125</v>
      </c>
      <c r="C16" s="83">
        <f>-'4_GASTOS FIJOS'!P30</f>
        <v>-120</v>
      </c>
    </row>
    <row r="17" spans="1:3" ht="15.6" thickTop="1" thickBot="1" x14ac:dyDescent="0.35">
      <c r="A17" s="3"/>
      <c r="B17" s="75" t="s">
        <v>126</v>
      </c>
      <c r="C17" s="76">
        <f>SUM(C15:C16)</f>
        <v>-120</v>
      </c>
    </row>
    <row r="18" spans="1:3" ht="15.6" thickTop="1" thickBot="1" x14ac:dyDescent="0.35">
      <c r="A18" s="3"/>
      <c r="B18" s="77" t="s">
        <v>110</v>
      </c>
      <c r="C18" s="80">
        <f>C14+C17</f>
        <v>6839.2333333333318</v>
      </c>
    </row>
    <row r="19" spans="1:3" ht="15.6" thickTop="1" thickBot="1" x14ac:dyDescent="0.35">
      <c r="A19" s="3" t="s">
        <v>19</v>
      </c>
      <c r="B19" s="81" t="s">
        <v>127</v>
      </c>
      <c r="C19" s="87">
        <v>0</v>
      </c>
    </row>
    <row r="20" spans="1:3" ht="15.6" thickTop="1" thickBot="1" x14ac:dyDescent="0.35">
      <c r="A20" s="3"/>
      <c r="B20" s="78" t="s">
        <v>128</v>
      </c>
      <c r="C20" s="79">
        <f>C18+C19</f>
        <v>6839.2333333333318</v>
      </c>
    </row>
    <row r="21" spans="1:3" ht="15" thickTop="1" x14ac:dyDescent="0.3"/>
    <row r="24" spans="1:3" ht="15" thickBot="1" x14ac:dyDescent="0.35">
      <c r="B24" s="78" t="s">
        <v>111</v>
      </c>
      <c r="C24" s="79">
        <f>'4_GASTOS FIJOS'!P31</f>
        <v>21090.76666666667</v>
      </c>
    </row>
    <row r="25" spans="1:3" ht="15.6" thickTop="1" thickBot="1" x14ac:dyDescent="0.35">
      <c r="B25" s="78" t="s">
        <v>141</v>
      </c>
      <c r="C25" s="79">
        <f>'4_GASTOS FIJOS'!P33</f>
        <v>22156.516666666666</v>
      </c>
    </row>
    <row r="26" spans="1:3" ht="15" thickTop="1" x14ac:dyDescent="0.3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C16"/>
  <sheetViews>
    <sheetView showGridLines="0" workbookViewId="0">
      <selection activeCell="C21" sqref="C21"/>
    </sheetView>
  </sheetViews>
  <sheetFormatPr baseColWidth="10" defaultRowHeight="14.4" x14ac:dyDescent="0.3"/>
  <cols>
    <col min="1" max="1" width="4.44140625" customWidth="1"/>
    <col min="2" max="2" width="80.44140625" customWidth="1"/>
    <col min="3" max="3" width="19.44140625" customWidth="1"/>
  </cols>
  <sheetData>
    <row r="3" spans="2:3" x14ac:dyDescent="0.3">
      <c r="B3" s="89" t="s">
        <v>117</v>
      </c>
    </row>
    <row r="9" spans="2:3" ht="15" thickBot="1" x14ac:dyDescent="0.35">
      <c r="B9" s="78" t="s">
        <v>112</v>
      </c>
      <c r="C9" s="79">
        <f>'2_Inversiones '!P23</f>
        <v>9841.9464000000007</v>
      </c>
    </row>
    <row r="10" spans="2:3" ht="15.6" thickTop="1" thickBot="1" x14ac:dyDescent="0.35">
      <c r="B10" s="78" t="s">
        <v>111</v>
      </c>
      <c r="C10" s="79">
        <f>'4_GASTOS FIJOS'!P31</f>
        <v>21090.76666666667</v>
      </c>
    </row>
    <row r="11" spans="2:3" ht="15.6" thickTop="1" thickBot="1" x14ac:dyDescent="0.35">
      <c r="B11" s="78" t="s">
        <v>113</v>
      </c>
      <c r="C11" s="79">
        <f>'4_GASTOS FIJOS'!P33-'4_GASTOS FIJOS'!P31+'3_GASTOS VARIABLES'!P16-'3_GASTOS VARIABLES'!P13</f>
        <v>5280.4499999999971</v>
      </c>
    </row>
    <row r="12" spans="2:3" ht="15.6" thickTop="1" thickBot="1" x14ac:dyDescent="0.35">
      <c r="B12" s="78" t="s">
        <v>114</v>
      </c>
      <c r="C12" s="88">
        <v>0</v>
      </c>
    </row>
    <row r="13" spans="2:3" ht="15.6" thickTop="1" thickBot="1" x14ac:dyDescent="0.35">
      <c r="B13" s="78" t="s">
        <v>115</v>
      </c>
      <c r="C13" s="79">
        <f>-20%*'5_VENTAS'!P29</f>
        <v>-6800</v>
      </c>
    </row>
    <row r="14" spans="2:3" ht="15" thickTop="1" x14ac:dyDescent="0.3"/>
    <row r="15" spans="2:3" ht="15" thickBot="1" x14ac:dyDescent="0.35">
      <c r="B15" s="78" t="s">
        <v>116</v>
      </c>
      <c r="C15" s="79">
        <f>SUM(C9:C13)</f>
        <v>29413.163066666668</v>
      </c>
    </row>
    <row r="16" spans="2:3" ht="15" thickTop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1_Competencia</vt:lpstr>
      <vt:lpstr>2_Inversiones </vt:lpstr>
      <vt:lpstr>3_GASTOS VARIABLES</vt:lpstr>
      <vt:lpstr>4_GASTOS FIJOS</vt:lpstr>
      <vt:lpstr>5_VENTAS</vt:lpstr>
      <vt:lpstr>6_CTA RESULTADOS</vt:lpstr>
      <vt:lpstr>7_NECESIDAD DE FINANCIACIÓN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Alonso</dc:creator>
  <cp:lastModifiedBy>Ana Rodriguez Lima</cp:lastModifiedBy>
  <cp:lastPrinted>2013-07-03T05:38:35Z</cp:lastPrinted>
  <dcterms:created xsi:type="dcterms:W3CDTF">2013-06-24T19:05:44Z</dcterms:created>
  <dcterms:modified xsi:type="dcterms:W3CDTF">2020-01-29T12:37:37Z</dcterms:modified>
</cp:coreProperties>
</file>